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firstSheet="3" activeTab="7" tabRatio="948.1865284974095"/>
  </bookViews>
  <sheets>
    <sheet r:id="rId1" name="Sales" sheetId="1"/>
    <sheet r:id="rId2" name="Costs" sheetId="2"/>
    <sheet r:id="rId3" name="ניתוח מוצרים" sheetId="3"/>
    <sheet r:id="rId4" name="ניתוח סניפים" sheetId="4"/>
    <sheet r:id="rId5" name="ניתוח סוכנים" sheetId="5"/>
    <sheet r:id="rId6" name="מגמות שנתיות" sheetId="6"/>
    <sheet r:id="rId7" name="גרפים" sheetId="7"/>
    <sheet r:id="rId8" name="דוח מסכם להנהלה" sheetId="8"/>
  </sheets>
  <calcPr calcId="0" iterateCount="100" iterateDelta="0.001"/>
</workbook>
</file>

<file path=xl/sharedStrings.xml><?xml version="1.0" encoding="utf-8"?>
<sst xmlns="http://schemas.openxmlformats.org/spreadsheetml/2006/main" count="93" uniqueCount="93">
  <si>
    <t>שנה</t>
  </si>
  <si>
    <t>סניף</t>
  </si>
  <si>
    <t>מוצר</t>
  </si>
  <si>
    <t>סוכן</t>
  </si>
  <si>
    <t>כמות</t>
  </si>
  <si>
    <t>מחיר ליחידה</t>
  </si>
  <si>
    <t>עלות ליחידה</t>
  </si>
  <si>
    <t>הכנסות</t>
  </si>
  <si>
    <t>עלות כוללת</t>
  </si>
  <si>
    <t>רווח</t>
  </si>
  <si>
    <t>אחוז רווח</t>
  </si>
  <si>
    <t>תל אביב</t>
  </si>
  <si>
    <t>מוצר A</t>
  </si>
  <si>
    <t>דני</t>
  </si>
  <si>
    <t>חיפה</t>
  </si>
  <si>
    <t>רותם</t>
  </si>
  <si>
    <t>ירושלים</t>
  </si>
  <si>
    <t>מוצר B</t>
  </si>
  <si>
    <t>מיכל</t>
  </si>
  <si>
    <t>באר שבע</t>
  </si>
  <si>
    <t>מוצר C</t>
  </si>
  <si>
    <t>יואב</t>
  </si>
  <si>
    <t>נתניה</t>
  </si>
  <si>
    <t>מוצר D</t>
  </si>
  <si>
    <t>לירון</t>
  </si>
  <si>
    <t>מוצר E</t>
  </si>
  <si>
    <t>מפתח</t>
  </si>
  <si>
    <t>2023מוצר A</t>
  </si>
  <si>
    <t>2023מוצר B</t>
  </si>
  <si>
    <t>2023מוצר C</t>
  </si>
  <si>
    <t>2023מוצר D</t>
  </si>
  <si>
    <t>2023מוצר E</t>
  </si>
  <si>
    <t>2024מוצר A</t>
  </si>
  <si>
    <t>2024מוצר B</t>
  </si>
  <si>
    <t>2024מוצר C</t>
  </si>
  <si>
    <t>2024מוצר D</t>
  </si>
  <si>
    <t>2024מוצר E</t>
  </si>
  <si>
    <t>2025מוצר A</t>
  </si>
  <si>
    <t>2025מוצר B</t>
  </si>
  <si>
    <t>2025מוצר C</t>
  </si>
  <si>
    <t>2025מוצר D</t>
  </si>
  <si>
    <t>2025מוצר E</t>
  </si>
  <si>
    <t>סה״כ כמות</t>
  </si>
  <si>
    <t>סה״כ הכנסות</t>
  </si>
  <si>
    <t>סה״כ עלויות</t>
  </si>
  <si>
    <t>סה״כ רווח</t>
  </si>
  <si>
    <t>אחוז רווח ממוצע</t>
  </si>
  <si>
    <t>דירוג מכירות</t>
  </si>
  <si>
    <t>דירוג רווח</t>
  </si>
  <si>
    <t>סה״כ</t>
  </si>
  <si>
    <t>ניתוח רווחיות - מוצרים עם מכירות גבוהות ורווחיות נמוכה:</t>
  </si>
  <si>
    <t>דירוג הכנסות</t>
  </si>
  <si>
    <t>דירוג רווחיות</t>
  </si>
  <si>
    <t>פער דירוגים</t>
  </si>
  <si>
    <t>סטטוס</t>
  </si>
  <si>
    <t>✅ תקין</t>
  </si>
  <si>
    <t>מוצרים בעייתיים (מכירות גבוהות, רווחיות נמוכה):</t>
  </si>
  <si>
    <t>דירוג</t>
  </si>
  <si>
    <t>הסוכן המוביל:</t>
  </si>
  <si>
    <t>שינוי הכנסות YoY</t>
  </si>
  <si>
    <t>—</t>
  </si>
  <si>
    <t>ניתוח מגמות:</t>
  </si>
  <si>
    <t>שנה עם הכנסות מקסימליות:</t>
  </si>
  <si>
    <t>שנה עם רווח מקסימלי:</t>
  </si>
  <si>
    <t>צמיחה ממוצעת (YoY):</t>
  </si>
  <si>
    <t>צמיחה כוללת 2023-2025:</t>
  </si>
  <si>
    <t>דוח מסכם להנהלה - ניתוח מכירות 2023-2025</t>
  </si>
  <si>
    <t>מדדים מרכזיים:</t>
  </si>
  <si>
    <t>סה״כ הכנסות:</t>
  </si>
  <si>
    <t>סה״כ רווח:</t>
  </si>
  <si>
    <t>אחוז רווח ממוצע:</t>
  </si>
  <si>
    <t>המובילים:</t>
  </si>
  <si>
    <t>מוצר מוביל:</t>
  </si>
  <si>
    <t>סניף מוביל:</t>
  </si>
  <si>
    <t>סוכן מוביל:</t>
  </si>
  <si>
    <t>שנה מובילה:</t>
  </si>
  <si>
    <t>5 תובנות עסקיות מרכזיות:</t>
  </si>
  <si>
    <t>1️⃣</t>
  </si>
  <si>
    <t>צמיחה עקבית - הכנסות עלו ב-29% תוך שנתיים (מ-₪318,000 ב-2023 ל-₪410,450 ב-2025)</t>
  </si>
  <si>
    <t>2️⃣</t>
  </si>
  <si>
    <t>מוצר A הוא המוצר המוביל - 32% מסה״כ ההכנסות ואחוז הרווח הגבוה ביותר (42.7%)</t>
  </si>
  <si>
    <t>3️⃣</t>
  </si>
  <si>
    <t>מוצר E דורש תשומת לב - הרווחיות הנמוכה ביותר (18.2%) למרות מחיר מכירה גבוה</t>
  </si>
  <si>
    <t>4️⃣</t>
  </si>
  <si>
    <t>חיפה מובילה ברווחיות (39.7%) למרות שתל אביב מובילה בהכנסות - יש ללמוד מהמודל</t>
  </si>
  <si>
    <t>5️⃣</t>
  </si>
  <si>
    <t>דני הוא הסוכן המוביל עם ₪271,100 הכנסות - מהווה 25% מסה״כ ההכנסות</t>
  </si>
  <si>
    <t>המלצות לפעולה:</t>
  </si>
  <si>
    <t>•</t>
  </si>
  <si>
    <t>לבחון את מבנה העלויות של מוצר E ולשקול התאמת מחיר או הפסקת ייצור</t>
  </si>
  <si>
    <t>להרחיב את המודל העסקי של סניף חיפה לסניפים אחרים</t>
  </si>
  <si>
    <t>לתמרץ את צוות המכירות על סמך שיעור הרווחיות ולא רק נפח מכירות</t>
  </si>
  <si>
    <t>להגדיל את ההשקעה במוצר A שמציג את הביצועים הטובים ביותר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</si>
</sst>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2112" formatCode="₪#,##0.00"/>
    <numFmt numFmtId="2113" formatCode="$#,##0.00"/>
    <numFmt numFmtId="2255" formatCode="₪#,##0"/>
  </numFmts>
  <fonts count="16">
    <font>
      <b val="0"/>
      <i val="0"/>
      <sz val="11"/>
      <color theme="1"/>
      <name val="Calibri"/>
      <scheme val="minor"/>
    </font>
    <font>
      <b val="0"/>
      <i val="0"/>
      <sz val="11"/>
      <color theme="1"/>
      <name val="Arial"/>
      <scheme val="minor"/>
    </font>
    <font>
      <b/>
      <i val="0"/>
      <sz val="11"/>
      <color theme="1"/>
      <name val="Arial"/>
      <scheme val="minor"/>
    </font>
    <font>
      <b/>
      <i val="0"/>
      <sz val="11"/>
      <color theme="1"/>
      <name val="Calibri"/>
    </font>
    <font>
      <b val="0"/>
      <i val="0"/>
      <sz val="11"/>
      <color theme="1"/>
      <name val="Calibri"/>
    </font>
    <font>
      <b/>
      <i val="0"/>
      <sz val="12"/>
      <color rgb="FFFFFFFF"/>
      <name val="Aptos Narrow"/>
    </font>
    <font>
      <b/>
      <i val="0"/>
      <sz val="12"/>
      <color theme="1"/>
      <name val="Aptos Narrow"/>
    </font>
    <font>
      <b/>
      <i val="0"/>
      <sz val="12"/>
      <color rgb="FFFFFFFF"/>
      <name val="Aptos Narrow"/>
    </font>
    <font>
      <name val="Calibri"/>
      <scheme val="minor"/>
    </font>
    <font>
      <b/>
      <i val="0"/>
      <sz val="12"/>
      <name val="Aptos Narrow"/>
    </font>
    <font>
      <b/>
      <i val="0"/>
      <sz val="11"/>
      <color rgb="FFFFFFFF"/>
      <name val="Aptos Narrow"/>
    </font>
    <font>
      <b/>
      <i val="0"/>
      <sz val="11"/>
      <name val="Aptos Narrow"/>
    </font>
    <font>
      <b/>
      <i val="0"/>
      <sz val="12"/>
      <color rgb="FFFFFFFF"/>
      <name val="Arial"/>
    </font>
    <font>
      <b/>
      <i val="0"/>
      <sz val="11"/>
      <name val="Arial"/>
    </font>
    <font>
      <b/>
      <i val="0"/>
      <sz val="16"/>
      <color rgb="FFFFFFFF"/>
      <name val="Arial"/>
    </font>
    <font>
      <b/>
      <i val="0"/>
      <sz val="12"/>
      <name val="Arial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0F0F0"/>
      </patternFill>
    </fill>
    <fill>
      <patternFill patternType="solid">
        <fgColor rgb="FFFFC000"/>
      </patternFill>
    </fill>
    <fill>
      <patternFill patternType="solid">
        <fgColor rgb="FFFFD700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CCCC"/>
      </patternFill>
    </fill>
  </fills>
  <borders count="2">
    <border>
      <left/>
      <right/>
      <top/>
      <bottom/>
    </border>
    <border>
      <left/>
      <right/>
      <top/>
      <bottom/>
      <diagonal/>
    </border>
  </borders>
  <cellStyleXfs count="1">
    <xf numFmtId="0" fontId="0" fillId="0" borderId="1"/>
  </cellStyleXfs>
  <cellXfs count="48">
    <xf numFmtId="0" fontId="0" fillId="0" borderId="1" xfId="0"/>
    <xf numFmtId="0" fontId="3" fillId="0" borderId="1" xfId="0">
      <alignment horizontal="center" vertical="center" wrapText="1"/>
    </xf>
    <xf numFmtId="0" fontId="5" fillId="2" borderId="1" xfId="0">
      <alignment horizontal="center" vertical="bottom"/>
    </xf>
    <xf numFmtId="0" fontId="4" fillId="0" borderId="1" xfId="0">
      <alignment horizontal="center" vertical="center" wrapText="1"/>
    </xf>
    <xf numFmtId="2112" fontId="0" fillId="0" borderId="1" xfId="0"/>
    <xf numFmtId="2113" fontId="0" fillId="0" borderId="1" xfId="0"/>
    <xf numFmtId="10" fontId="0" fillId="0" borderId="1" xfId="0"/>
    <xf numFmtId="0" fontId="6" fillId="0" borderId="1" xfId="0">
      <alignment horizontal="center" vertical="center"/>
    </xf>
    <xf numFmtId="0" fontId="2" fillId="0" borderId="1" xfId="0">
      <alignment horizontal="center" vertical="center" wrapText="1"/>
    </xf>
    <xf numFmtId="0" fontId="1" fillId="0" borderId="1" xfId="0">
      <alignment vertical="center" wrapText="1"/>
    </xf>
    <xf numFmtId="0" fontId="7" fillId="2" borderId="0" xfId="0">
      <alignment horizontal="center" vertical="top"/>
    </xf>
    <xf numFmtId="3" fontId="8" fillId="0" borderId="0" xfId="0">
      <alignment vertical="top"/>
    </xf>
    <xf numFmtId="2112" fontId="8" fillId="0" borderId="0" xfId="0">
      <alignment vertical="top"/>
    </xf>
    <xf numFmtId="10" fontId="8" fillId="0" borderId="0" xfId="0">
      <alignment vertical="top"/>
    </xf>
    <xf numFmtId="0" fontId="9" fillId="3" borderId="0" xfId="0">
      <alignment vertical="top"/>
    </xf>
    <xf numFmtId="3" fontId="9" fillId="3" borderId="0" xfId="0">
      <alignment vertical="top"/>
    </xf>
    <xf numFmtId="2112" fontId="9" fillId="3" borderId="0" xfId="0">
      <alignment vertical="top"/>
    </xf>
    <xf numFmtId="10" fontId="9" fillId="3" borderId="0" xfId="0">
      <alignment vertical="top"/>
    </xf>
    <xf numFmtId="0" fontId="9" fillId="4" borderId="0" xfId="0">
      <alignment horizontal="right" vertical="top"/>
    </xf>
    <xf numFmtId="0" fontId="10" fillId="2" borderId="0" xfId="0">
      <alignment horizontal="center" vertical="top"/>
    </xf>
    <xf numFmtId="2113" fontId="8" fillId="0" borderId="0" xfId="0">
      <alignment vertical="top"/>
    </xf>
    <xf numFmtId="0" fontId="11" fillId="0" borderId="0" xfId="0">
      <alignment vertical="top"/>
    </xf>
    <xf numFmtId="0" fontId="11" fillId="0" borderId="0" xfId="0">
      <alignment horizontal="center" vertical="top"/>
    </xf>
    <xf numFmtId="0" fontId="12" fillId="2" borderId="0" xfId="0">
      <alignment horizontal="center" vertical="top"/>
    </xf>
    <xf numFmtId="2255" fontId="8" fillId="0" borderId="0" xfId="0">
      <alignment vertical="top"/>
    </xf>
    <xf numFmtId="0" fontId="8" fillId="0" borderId="0" xfId="0">
      <alignment vertical="top"/>
    </xf>
    <xf numFmtId="0" fontId="13" fillId="3" borderId="0" xfId="0">
      <alignment vertical="top"/>
    </xf>
    <xf numFmtId="2255" fontId="13" fillId="3" borderId="0" xfId="0">
      <alignment vertical="top"/>
    </xf>
    <xf numFmtId="10" fontId="13" fillId="3" borderId="0" xfId="0">
      <alignment vertical="top"/>
    </xf>
    <xf numFmtId="0" fontId="8" fillId="0" borderId="0" xfId="0">
      <alignment horizontal="center" vertical="top"/>
    </xf>
    <xf numFmtId="2255" fontId="8" fillId="0" borderId="0" xfId="0">
      <alignment horizontal="center" vertical="top"/>
    </xf>
    <xf numFmtId="10" fontId="8" fillId="0" borderId="0" xfId="0">
      <alignment horizontal="center" vertical="top"/>
    </xf>
    <xf numFmtId="2255" fontId="9" fillId="3" borderId="0" xfId="0">
      <alignment vertical="top"/>
    </xf>
    <xf numFmtId="0" fontId="9" fillId="5" borderId="0" xfId="0">
      <alignment vertical="top"/>
    </xf>
    <xf numFmtId="49" fontId="8" fillId="0" borderId="0" xfId="0">
      <alignment vertical="top"/>
    </xf>
    <xf numFmtId="0" fontId="11" fillId="3" borderId="0" xfId="0">
      <alignment vertical="top"/>
    </xf>
    <xf numFmtId="3" fontId="11" fillId="3" borderId="0" xfId="0">
      <alignment vertical="top"/>
    </xf>
    <xf numFmtId="2255" fontId="11" fillId="3" borderId="0" xfId="0">
      <alignment vertical="top"/>
    </xf>
    <xf numFmtId="10" fontId="11" fillId="3" borderId="0" xfId="0">
      <alignment vertical="top"/>
    </xf>
    <xf numFmtId="0" fontId="9" fillId="6" borderId="0" xfId="0">
      <alignment vertical="top"/>
    </xf>
    <xf numFmtId="0" fontId="8" fillId="6" borderId="0" xfId="0">
      <alignment vertical="top"/>
    </xf>
    <xf numFmtId="10" fontId="8" fillId="6" borderId="0" xfId="0">
      <alignment vertical="top"/>
    </xf>
    <xf numFmtId="0" fontId="14" fillId="2" borderId="0" xfId="0">
      <alignment horizontal="center" vertical="top"/>
    </xf>
    <xf numFmtId="0" fontId="15" fillId="7" borderId="0" xfId="0">
      <alignment vertical="top"/>
    </xf>
    <xf numFmtId="0" fontId="13" fillId="0" borderId="0" xfId="0">
      <alignment vertical="top"/>
    </xf>
    <xf numFmtId="0" fontId="15" fillId="6" borderId="0" xfId="0">
      <alignment vertical="top"/>
    </xf>
    <xf numFmtId="0" fontId="15" fillId="4" borderId="0" xfId="0">
      <alignment vertical="top"/>
    </xf>
    <xf numFmtId="0" fontId="15" fillId="8" borderId="0" xfId="0">
      <alignment vertical="top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Relationship Id="rId10" Type="http://schemas.openxmlformats.org/officeDocument/2006/relationships/theme" Target="theme/theme1.xml"/><Relationship Id="rId11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 xmlns:c16r2="http://schemas.microsoft.com/office/drawing/2015/06/chart">
  <c:roundedCorners val="0"/>
  <c:chart>
    <c:title>
      <c:tx>
        <c:rich>
          <a:bodyPr/>
          <a:p>
            <a:pPr>
              <a:defRPr sz="1050" b="0">
                <a:solidFill>
                  <a:srgbClr val="333333"/>
                </a:solidFill>
                <a:latin typeface="Arial"/>
              </a:defRPr>
            </a:pPr>
            <a:r>
              <a:rPr sz="1050" b="0">
                <a:solidFill>
                  <a:srgbClr val="333333"/>
                </a:solidFill>
                <a:latin typeface="Arial"/>
              </a:rPr>
              <a:t>הכנסות לפי מוצר</a:t>
            </a:r>
            <a:endParaRPr/>
          </a:p>
        </c:rich>
      </c:tx>
      <c:overlay val="0"/>
      <c:spPr>
        <a:noFill/>
        <a:ln>
          <a:noFill/>
        </a:ln>
      </c:spPr>
    </c:title>
    <c:autoTitleDeleted val="0"/>
    <c:plotArea>
      <c:barChart chartType="6">
        <c:ser seriesType="0">
          <c:idx val="0"/>
          <c:order val="0"/>
          <c:tx>
            <c:strRef>
              <c:f>'גרפים'!$A$1</c:f>
            </c:strRef>
          </c:tx>
          <c:spPr>
            <a:solidFill>
              <a:schemeClr val="accent1"/>
            </a:solidFill>
          </c:spPr>
          <c:val>
            <c:numRef>
              <c:f>'גרפים'!$A$2:$A$6</c:f>
              <c:numCache>
                <c:formatCode>General</c:formatCode>
              </c:numCache>
            </c:numRef>
          </c:val>
          <c:extLst/>
          <c:invertIfNegative val="0"/>
        </c:ser>
        <c:ser seriesType="0">
          <c:idx val="1"/>
          <c:order val="1"/>
          <c:tx>
            <c:strRef>
              <c:f>'ניתוח מוצרים'!$C$1</c:f>
            </c:strRef>
          </c:tx>
          <c:spPr>
            <a:solidFill>
              <a:schemeClr val="accent2"/>
            </a:solidFill>
          </c:spPr>
          <c:val>
            <c:numRef>
              <c:f>'ניתוח מוצרים'!$C$2:$C$6</c:f>
              <c:numCache>
                <c:formatCode>₪#,##0.00</c:formatCode>
              </c:numCache>
            </c:numRef>
          </c:val>
          <c:extLst/>
          <c:invertIfNegative val="0"/>
        </c:ser>
        <c:axId val="68489658"/>
        <c:axId val="20580948"/>
        <c:barDir val="col"/>
        <c:grouping val="clustered"/>
        <c:gapWidth val="150"/>
        <c:varyColors val="0"/>
        <c:overlap val="-27"/>
      </c:barChart>
      <c:catAx axisType="0">
        <c:axId val="68489658"/>
        <c:delete val="0"/>
        <c:majorTickMark val="none"/>
        <c:minorTickMark val="none"/>
        <c:tickLblPos val="nextTo"/>
        <c:axPos val="b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auto val="1"/>
        <c:lblOffset val="0"/>
        <c:tickMarkSkip val="1"/>
        <c:noMultiLvlLbl val="1"/>
        <c:crosses val="autoZero"/>
        <c:crossAx val="20580948"/>
      </c:catAx>
      <c:valAx axisType="3">
        <c:axId val="20580948"/>
        <c:delete val="0"/>
        <c:majorTickMark val="none"/>
        <c:minorTickMark val="none"/>
        <c:tickLblPos val="nextTo"/>
        <c:axPos val="l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majorGridlines>
          <c:spPr>
            <a:ln w="9525">
              <a:solidFill>
                <a:srgbClr val="d9d9d9"/>
              </a:solidFill>
            </a:ln>
          </c:spPr>
        </c:majorGridlines>
        <c:crosses val="autoZero"/>
        <c:crossBetween val="between"/>
        <c:crossAx val="68489658"/>
      </c:valAx>
      <c:spPr>
        <a:noFill/>
        <a:ln>
          <a:noFill/>
        </a:ln>
      </c:spPr>
    </c:plotArea>
    <c:legend>
      <c:legendPos val="r"/>
      <c:overlay val="0"/>
      <c:spPr>
        <a:noFill/>
      </c:spPr>
      <c:txPr>
        <a:bodyPr/>
        <a:p>
          <a:pPr>
            <a:def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defRPr>
          </a:pPr>
          <a:r>
            <a: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rPr>
            <a:t/>
          </a:r>
          <a:endParaRPr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0"/>
        </c16r3:dataDisplayOptions16>
      </c:ext>
    </c:extLst>
  </c:chart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4"/>
    </mc:Fallback>
  </mc:AlternateContent>
  <c:spPr>
    <a:solidFill>
      <a:schemeClr val="bg1"/>
    </a:solidFill>
    <a:ln w="9525">
      <a:solidFill>
        <a:schemeClr val="tx1">
          <a:lumMod val="15000"/>
          <a:lumOff val="85000"/>
        </a:schemeClr>
      </a:solidFill>
    </a:ln>
  </c:spPr>
  <c:txPr>
    <a:bodyPr/>
    <a:p>
      <a:pPr>
        <a:defRPr b="0">
          <a:solidFill>
            <a:schemeClr val="tx1">
              <a:lumMod val="65000"/>
              <a:lumOff val="35000"/>
            </a:schemeClr>
          </a:solidFill>
          <a:latin typeface="+mn-lt"/>
        </a:defRPr>
      </a:pPr>
      <a:r>
        <a:rPr b="0">
          <a:solidFill>
            <a:schemeClr val="tx1">
              <a:lumMod val="65000"/>
              <a:lumOff val="35000"/>
            </a:schemeClr>
          </a:solidFill>
          <a:latin typeface="+mn-lt"/>
        </a:rPr>
        <a:t/>
      </a:r>
      <a:endParaRPr/>
    </a:p>
  </c:txPr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 xmlns:c16r2="http://schemas.microsoft.com/office/drawing/2015/06/chart">
  <c:roundedCorners val="0"/>
  <c:chart>
    <c:title>
      <c:tx>
        <c:rich>
          <a:bodyPr/>
          <a:p>
            <a:pPr>
              <a:defRPr sz="1050" b="0">
                <a:solidFill>
                  <a:srgbClr val="333333"/>
                </a:solidFill>
                <a:latin typeface="Arial"/>
              </a:defRPr>
            </a:pPr>
            <a:r>
              <a:rPr sz="1050" b="0">
                <a:solidFill>
                  <a:srgbClr val="333333"/>
                </a:solidFill>
                <a:latin typeface="Arial"/>
              </a:rPr>
              <a:t>רווח לפי מוצר</a:t>
            </a:r>
            <a:endParaRPr/>
          </a:p>
        </c:rich>
      </c:tx>
      <c:overlay val="0"/>
      <c:spPr>
        <a:noFill/>
        <a:ln>
          <a:noFill/>
        </a:ln>
      </c:spPr>
    </c:title>
    <c:autoTitleDeleted val="0"/>
    <c:plotArea>
      <c:barChart chartType="6">
        <c:ser seriesType="0">
          <c:idx val="0"/>
          <c:order val="0"/>
          <c:tx>
            <c:strRef>
              <c:f>'גרפים'!$A$1</c:f>
            </c:strRef>
          </c:tx>
          <c:spPr>
            <a:solidFill>
              <a:schemeClr val="accent1"/>
            </a:solidFill>
          </c:spPr>
          <c:val>
            <c:numRef>
              <c:f>'גרפים'!$A$2:$A$6</c:f>
              <c:numCache>
                <c:formatCode>General</c:formatCode>
              </c:numCache>
            </c:numRef>
          </c:val>
          <c:extLst/>
          <c:invertIfNegative val="0"/>
        </c:ser>
        <c:ser seriesType="0">
          <c:idx val="1"/>
          <c:order val="1"/>
          <c:tx>
            <c:strRef>
              <c:f>'ניתוח מוצרים'!$E$1</c:f>
            </c:strRef>
          </c:tx>
          <c:spPr>
            <a:solidFill>
              <a:schemeClr val="accent2"/>
            </a:solidFill>
          </c:spPr>
          <c:val>
            <c:numRef>
              <c:f>'ניתוח מוצרים'!$E$2:$E$6</c:f>
              <c:numCache>
                <c:formatCode>₪#,##0.00</c:formatCode>
              </c:numCache>
            </c:numRef>
          </c:val>
          <c:extLst/>
          <c:invertIfNegative val="0"/>
        </c:ser>
        <c:axId val="85370517"/>
        <c:axId val="84323869"/>
        <c:barDir val="col"/>
        <c:grouping val="clustered"/>
        <c:gapWidth val="150"/>
        <c:varyColors val="0"/>
        <c:overlap val="-27"/>
      </c:barChart>
      <c:catAx axisType="0">
        <c:axId val="85370517"/>
        <c:delete val="0"/>
        <c:majorTickMark val="none"/>
        <c:minorTickMark val="none"/>
        <c:tickLblPos val="nextTo"/>
        <c:axPos val="b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auto val="1"/>
        <c:lblOffset val="0"/>
        <c:tickMarkSkip val="1"/>
        <c:noMultiLvlLbl val="1"/>
        <c:crosses val="autoZero"/>
        <c:crossAx val="84323869"/>
      </c:catAx>
      <c:valAx axisType="3">
        <c:axId val="84323869"/>
        <c:delete val="0"/>
        <c:majorTickMark val="none"/>
        <c:minorTickMark val="none"/>
        <c:tickLblPos val="nextTo"/>
        <c:axPos val="l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majorGridlines>
          <c:spPr>
            <a:ln w="9525">
              <a:solidFill>
                <a:srgbClr val="d9d9d9"/>
              </a:solidFill>
            </a:ln>
          </c:spPr>
        </c:majorGridlines>
        <c:crosses val="autoZero"/>
        <c:crossBetween val="between"/>
        <c:crossAx val="85370517"/>
      </c:valAx>
      <c:spPr>
        <a:noFill/>
        <a:ln>
          <a:noFill/>
        </a:ln>
      </c:spPr>
    </c:plotArea>
    <c:legend>
      <c:legendPos val="r"/>
      <c:overlay val="0"/>
      <c:spPr>
        <a:noFill/>
      </c:spPr>
      <c:txPr>
        <a:bodyPr/>
        <a:p>
          <a:pPr>
            <a:def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defRPr>
          </a:pPr>
          <a:r>
            <a: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rPr>
            <a:t/>
          </a:r>
          <a:endParaRPr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0"/>
        </c16r3:dataDisplayOptions16>
      </c:ext>
    </c:extLst>
  </c:chart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4"/>
    </mc:Fallback>
  </mc:AlternateContent>
  <c:spPr>
    <a:solidFill>
      <a:schemeClr val="bg1"/>
    </a:solidFill>
    <a:ln w="9525">
      <a:solidFill>
        <a:schemeClr val="tx1">
          <a:lumMod val="15000"/>
          <a:lumOff val="85000"/>
        </a:schemeClr>
      </a:solidFill>
    </a:ln>
  </c:spPr>
  <c:txPr>
    <a:bodyPr/>
    <a:p>
      <a:pPr>
        <a:defRPr b="0">
          <a:solidFill>
            <a:schemeClr val="tx1">
              <a:lumMod val="65000"/>
              <a:lumOff val="35000"/>
            </a:schemeClr>
          </a:solidFill>
          <a:latin typeface="+mn-lt"/>
        </a:defRPr>
      </a:pPr>
      <a:r>
        <a:rPr b="0">
          <a:solidFill>
            <a:schemeClr val="tx1">
              <a:lumMod val="65000"/>
              <a:lumOff val="35000"/>
            </a:schemeClr>
          </a:solidFill>
          <a:latin typeface="+mn-lt"/>
        </a:rPr>
        <a:t/>
      </a:r>
      <a:endParaRPr/>
    </a:p>
  </c:txPr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 xmlns:c16r2="http://schemas.microsoft.com/office/drawing/2015/06/chart">
  <c:roundedCorners val="0"/>
  <c:chart>
    <c:title>
      <c:tx>
        <c:rich>
          <a:bodyPr/>
          <a:p>
            <a:pPr>
              <a:defRPr sz="1050" b="0">
                <a:solidFill>
                  <a:srgbClr val="333333"/>
                </a:solidFill>
                <a:latin typeface="Arial"/>
              </a:defRPr>
            </a:pPr>
            <a:r>
              <a:rPr sz="1050" b="0">
                <a:solidFill>
                  <a:srgbClr val="333333"/>
                </a:solidFill>
                <a:latin typeface="Arial"/>
              </a:rPr>
              <a:t>מגמת הכנסות 2023-2025</a:t>
            </a:r>
            <a:endParaRPr/>
          </a:p>
        </c:rich>
      </c:tx>
      <c:overlay val="0"/>
      <c:spPr>
        <a:noFill/>
        <a:ln>
          <a:noFill/>
        </a:ln>
      </c:spPr>
    </c:title>
    <c:autoTitleDeleted val="0"/>
    <c:plotArea>
      <c:lineChart chartType="8">
        <c:ser seriesType="2">
          <c:idx val="0"/>
          <c:order val="0"/>
          <c:tx>
            <c:strRef>
              <c:f>'גרפים'!$A$1</c:f>
            </c:strRef>
          </c:tx>
          <c:spPr>
            <a:solidFill>
              <a:schemeClr val="accent1"/>
            </a:solidFill>
            <a:ln w="19050"/>
          </c:spPr>
          <c:val>
            <c:numRef>
              <c:f>'גרפים'!$A$2:$A$4</c:f>
              <c:numCache>
                <c:formatCode>General</c:formatCode>
              </c:numCache>
            </c:numRef>
          </c:val>
          <c:extLst/>
          <c:smooth val="0"/>
          <c:marker>
            <c:symbol val="none"/>
            <c:spPr/>
          </c:marker>
        </c:ser>
        <c:ser seriesType="2">
          <c:idx val="1"/>
          <c:order val="1"/>
          <c:tx>
            <c:strRef>
              <c:f>'מגמות שנתיות'!$C$1</c:f>
            </c:strRef>
          </c:tx>
          <c:spPr>
            <a:solidFill>
              <a:schemeClr val="accent2"/>
            </a:solidFill>
            <a:ln w="19050"/>
          </c:spPr>
          <c:val>
            <c:numRef>
              <c:f>'מגמות שנתיות'!$C$2:$C$4</c:f>
              <c:numCache>
                <c:formatCode>₪#,##0</c:formatCode>
              </c:numCache>
            </c:numRef>
          </c:val>
          <c:extLst/>
          <c:smooth val="0"/>
          <c:marker>
            <c:symbol val="none"/>
            <c:spPr/>
          </c:marker>
        </c:ser>
        <c:axId val="41624085"/>
        <c:axId val="23922951"/>
        <c:grouping val="standard"/>
        <c:varyColors val="0"/>
        <c:smooth val="0"/>
        <c:marker val="0"/>
      </c:lineChart>
      <c:catAx axisType="0">
        <c:axId val="41624085"/>
        <c:delete val="0"/>
        <c:majorTickMark val="none"/>
        <c:minorTickMark val="none"/>
        <c:tickLblPos val="nextTo"/>
        <c:axPos val="b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auto val="1"/>
        <c:lblOffset val="0"/>
        <c:tickMarkSkip val="1"/>
        <c:noMultiLvlLbl val="1"/>
        <c:crosses val="autoZero"/>
        <c:crossAx val="23922951"/>
      </c:catAx>
      <c:valAx axisType="3">
        <c:axId val="23922951"/>
        <c:delete val="0"/>
        <c:majorTickMark val="none"/>
        <c:minorTickMark val="none"/>
        <c:tickLblPos val="nextTo"/>
        <c:axPos val="l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majorGridlines>
          <c:spPr>
            <a:ln w="9525">
              <a:solidFill>
                <a:srgbClr val="d9d9d9"/>
              </a:solidFill>
            </a:ln>
          </c:spPr>
        </c:majorGridlines>
        <c:crosses val="autoZero"/>
        <c:crossBetween val="between"/>
        <c:crossAx val="41624085"/>
      </c:valAx>
      <c:spPr>
        <a:noFill/>
        <a:ln>
          <a:noFill/>
        </a:ln>
      </c:spPr>
    </c:plotArea>
    <c:legend>
      <c:legendPos val="r"/>
      <c:overlay val="0"/>
      <c:spPr>
        <a:noFill/>
      </c:spPr>
      <c:txPr>
        <a:bodyPr/>
        <a:p>
          <a:pPr>
            <a:def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defRPr>
          </a:pPr>
          <a:r>
            <a: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rPr>
            <a:t/>
          </a:r>
          <a:endParaRPr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0"/>
        </c16r3:dataDisplayOptions16>
      </c:ext>
    </c:extLst>
  </c:chart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4"/>
    </mc:Fallback>
  </mc:AlternateContent>
  <c:spPr>
    <a:solidFill>
      <a:schemeClr val="bg1"/>
    </a:solidFill>
    <a:ln w="9525">
      <a:solidFill>
        <a:schemeClr val="tx1">
          <a:lumMod val="15000"/>
          <a:lumOff val="85000"/>
        </a:schemeClr>
      </a:solidFill>
    </a:ln>
  </c:spPr>
  <c:txPr>
    <a:bodyPr/>
    <a:p>
      <a:pPr>
        <a:defRPr b="0">
          <a:solidFill>
            <a:schemeClr val="tx1">
              <a:lumMod val="65000"/>
              <a:lumOff val="35000"/>
            </a:schemeClr>
          </a:solidFill>
          <a:latin typeface="+mn-lt"/>
        </a:defRPr>
      </a:pPr>
      <a:r>
        <a:rPr b="0">
          <a:solidFill>
            <a:schemeClr val="tx1">
              <a:lumMod val="65000"/>
              <a:lumOff val="35000"/>
            </a:schemeClr>
          </a:solidFill>
          <a:latin typeface="+mn-lt"/>
        </a:rPr>
        <a:t/>
      </a:r>
      <a:endParaRPr/>
    </a:p>
  </c:txPr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 xmlns:c16r2="http://schemas.microsoft.com/office/drawing/2015/06/chart">
  <c:roundedCorners val="0"/>
  <c:chart>
    <c:title>
      <c:tx>
        <c:rich>
          <a:bodyPr/>
          <a:p>
            <a:pPr>
              <a:defRPr sz="1050" b="0">
                <a:solidFill>
                  <a:srgbClr val="333333"/>
                </a:solidFill>
                <a:latin typeface="Arial"/>
              </a:defRPr>
            </a:pPr>
            <a:r>
              <a:rPr sz="1050" b="0">
                <a:solidFill>
                  <a:srgbClr val="333333"/>
                </a:solidFill>
                <a:latin typeface="Arial"/>
              </a:rPr>
              <a:t>הכנסות לפי סניף</a:t>
            </a:r>
            <a:endParaRPr/>
          </a:p>
        </c:rich>
      </c:tx>
      <c:overlay val="0"/>
      <c:spPr>
        <a:noFill/>
        <a:ln>
          <a:noFill/>
        </a:ln>
      </c:spPr>
    </c:title>
    <c:autoTitleDeleted val="0"/>
    <c:plotArea>
      <c:barChart chartType="6">
        <c:ser seriesType="0">
          <c:idx val="0"/>
          <c:order val="0"/>
          <c:tx>
            <c:strRef>
              <c:f>'גרפים'!$A$1</c:f>
            </c:strRef>
          </c:tx>
          <c:spPr>
            <a:solidFill>
              <a:schemeClr val="accent1"/>
            </a:solidFill>
          </c:spPr>
          <c:val>
            <c:numRef>
              <c:f>'גרפים'!$A$2:$A$6</c:f>
              <c:numCache>
                <c:formatCode>General</c:formatCode>
              </c:numCache>
            </c:numRef>
          </c:val>
          <c:extLst/>
          <c:invertIfNegative val="0"/>
        </c:ser>
        <c:ser seriesType="0">
          <c:idx val="1"/>
          <c:order val="1"/>
          <c:tx>
            <c:strRef>
              <c:f>'ניתוח סניפים'!$C$1</c:f>
            </c:strRef>
          </c:tx>
          <c:spPr>
            <a:solidFill>
              <a:schemeClr val="accent2"/>
            </a:solidFill>
          </c:spPr>
          <c:val>
            <c:numRef>
              <c:f>'ניתוח סניפים'!$C$2:$C$6</c:f>
              <c:numCache>
                <c:formatCode>₪#,##0</c:formatCode>
              </c:numCache>
            </c:numRef>
          </c:val>
          <c:extLst/>
          <c:invertIfNegative val="0"/>
        </c:ser>
        <c:axId val="71849764"/>
        <c:axId val="86874570"/>
        <c:barDir val="col"/>
        <c:grouping val="clustered"/>
        <c:gapWidth val="150"/>
        <c:varyColors val="0"/>
        <c:overlap val="-27"/>
      </c:barChart>
      <c:catAx axisType="0">
        <c:axId val="71849764"/>
        <c:delete val="0"/>
        <c:majorTickMark val="none"/>
        <c:minorTickMark val="none"/>
        <c:tickLblPos val="nextTo"/>
        <c:axPos val="b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auto val="1"/>
        <c:lblOffset val="0"/>
        <c:tickMarkSkip val="1"/>
        <c:noMultiLvlLbl val="1"/>
        <c:crosses val="autoZero"/>
        <c:crossAx val="86874570"/>
      </c:catAx>
      <c:valAx axisType="3">
        <c:axId val="86874570"/>
        <c:delete val="0"/>
        <c:majorTickMark val="none"/>
        <c:minorTickMark val="none"/>
        <c:tickLblPos val="nextTo"/>
        <c:axPos val="l"/>
        <c:scaling>
          <c:orientation val="minMax"/>
        </c:scaling>
        <c:spPr>
          <a:ln>
            <a:solidFill>
              <a:schemeClr val="tx1">
                <a:lumMod val="15000"/>
                <a:lumOff val="85000"/>
              </a:schemeClr>
            </a:solidFill>
          </a:ln>
        </c:spPr>
        <c:numFmt formatCode="General"/>
        <c:txPr>
          <a:bodyPr/>
          <a:p>
            <a:pPr>
              <a:def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defRPr>
            </a:pPr>
            <a:r>
              <a:rPr sz="900" b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</a:rPr>
              <a:t/>
            </a:r>
            <a:endParaRPr/>
          </a:p>
        </c:txPr>
        <c:majorGridlines>
          <c:spPr>
            <a:ln w="9525">
              <a:solidFill>
                <a:srgbClr val="d9d9d9"/>
              </a:solidFill>
            </a:ln>
          </c:spPr>
        </c:majorGridlines>
        <c:crosses val="autoZero"/>
        <c:crossBetween val="between"/>
        <c:crossAx val="71849764"/>
      </c:valAx>
      <c:spPr>
        <a:noFill/>
        <a:ln>
          <a:noFill/>
        </a:ln>
      </c:spPr>
    </c:plotArea>
    <c:legend>
      <c:legendPos val="r"/>
      <c:overlay val="0"/>
      <c:spPr>
        <a:noFill/>
      </c:spPr>
      <c:txPr>
        <a:bodyPr/>
        <a:p>
          <a:pPr>
            <a:def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defRPr>
          </a:pPr>
          <a:r>
            <a:rPr sz="750" b="0">
              <a:solidFill>
                <a:schemeClr val="tx1">
                  <a:lumMod val="65000"/>
                  <a:lumOff val="35000"/>
                </a:schemeClr>
              </a:solidFill>
              <a:latin typeface="Arial"/>
            </a:rPr>
            <a:t/>
          </a:r>
          <a:endParaRPr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0"/>
        </c16r3:dataDisplayOptions16>
      </c:ext>
    </c:extLst>
  </c:chart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4"/>
    </mc:Fallback>
  </mc:AlternateContent>
  <c:spPr>
    <a:solidFill>
      <a:schemeClr val="bg1"/>
    </a:solidFill>
    <a:ln w="9525">
      <a:solidFill>
        <a:schemeClr val="tx1">
          <a:lumMod val="15000"/>
          <a:lumOff val="85000"/>
        </a:schemeClr>
      </a:solidFill>
    </a:ln>
  </c:spPr>
  <c:txPr>
    <a:bodyPr/>
    <a:p>
      <a:pPr>
        <a:defRPr b="0">
          <a:solidFill>
            <a:schemeClr val="tx1">
              <a:lumMod val="65000"/>
              <a:lumOff val="35000"/>
            </a:schemeClr>
          </a:solidFill>
          <a:latin typeface="+mn-lt"/>
        </a:defRPr>
      </a:pPr>
      <a:r>
        <a:rPr b="0">
          <a:solidFill>
            <a:schemeClr val="tx1">
              <a:lumMod val="65000"/>
              <a:lumOff val="35000"/>
            </a:schemeClr>
          </a:solidFill>
          <a:latin typeface="+mn-lt"/>
        </a:rPr>
        <a:t/>
      </a:r>
      <a:endParaRPr/>
    </a:p>
  </c:txPr>
</c:chartSpace>
</file>

<file path=xl/charts/colors1.xml><?xml version="1.0" encoding="utf-8"?>
<cs:colorStyle xmlns:a="http://schemas.openxmlformats.org/drawingml/2006/main" xmlns:cs="http://schemas.microsoft.com/office/drawing/2012/chartStyle" meth="cycle" id="10">
  <a:schemeClr val="accent1"/>
  <a:schemeClr val="accent2"/>
  <a:schemeClr val="accent3"/>
  <a:schemeClr val="accent4"/>
  <a:schemeClr val="accent5"/>
  <a:schemeClr val="accent6"/>
  <a:schemeClr val="accent1">
    <a:lumMod val="60000"/>
  </a:schemeClr>
  <a:schemeClr val="accent2">
    <a:lumMod val="60000"/>
  </a:schemeClr>
  <a:schemeClr val="accent3">
    <a:lumMod val="60000"/>
  </a:schemeClr>
  <a:schemeClr val="accent4">
    <a:lumMod val="60000"/>
  </a:schemeClr>
  <a:schemeClr val="accent5">
    <a:lumMod val="60000"/>
  </a:schemeClr>
  <a:schemeClr val="accent6">
    <a:lumMod val="60000"/>
  </a:schemeClr>
  <a:schemeClr val="accent1">
    <a:lumMod val="80000"/>
    <a:lumOff val="20000"/>
  </a:schemeClr>
  <a:schemeClr val="accent2">
    <a:lumMod val="80000"/>
    <a:lumOff val="20000"/>
  </a:schemeClr>
  <a:schemeClr val="accent3">
    <a:lumMod val="80000"/>
    <a:lumOff val="20000"/>
  </a:schemeClr>
  <a:schemeClr val="accent4">
    <a:lumMod val="80000"/>
    <a:lumOff val="20000"/>
  </a:schemeClr>
  <a:schemeClr val="accent5">
    <a:lumMod val="80000"/>
    <a:lumOff val="20000"/>
  </a:schemeClr>
  <a:schemeClr val="accent6">
    <a:lumMod val="80000"/>
    <a:lumOff val="20000"/>
  </a:schemeClr>
  <a:schemeClr val="accent1">
    <a:lumMod val="80000"/>
  </a:schemeClr>
  <a:schemeClr val="accent2">
    <a:lumMod val="80000"/>
  </a:schemeClr>
  <a:schemeClr val="accent3">
    <a:lumMod val="80000"/>
  </a:schemeClr>
  <a:schemeClr val="accent4">
    <a:lumMod val="80000"/>
  </a:schemeClr>
  <a:schemeClr val="accent5">
    <a:lumMod val="80000"/>
  </a:schemeClr>
  <a:schemeClr val="accent6">
    <a:lumMod val="80000"/>
  </a:schemeClr>
  <a:schemeClr val="accent1">
    <a:lumMod val="60000"/>
    <a:lumOff val="40000"/>
  </a:schemeClr>
  <a:schemeClr val="accent2">
    <a:lumMod val="60000"/>
    <a:lumOff val="40000"/>
  </a:schemeClr>
  <a:schemeClr val="accent3">
    <a:lumMod val="60000"/>
    <a:lumOff val="40000"/>
  </a:schemeClr>
  <a:schemeClr val="accent4">
    <a:lumMod val="60000"/>
    <a:lumOff val="40000"/>
  </a:schemeClr>
  <a:schemeClr val="accent5">
    <a:lumMod val="60000"/>
    <a:lumOff val="40000"/>
  </a:schemeClr>
  <a:schemeClr val="accent6">
    <a:lumMod val="60000"/>
    <a:lumOff val="40000"/>
  </a:schemeClr>
  <a:schemeClr val="accent1">
    <a:lumMod val="50000"/>
  </a:schemeClr>
  <a:schemeClr val="accent2">
    <a:lumMod val="50000"/>
  </a:schemeClr>
  <a:schemeClr val="accent3">
    <a:lumMod val="50000"/>
  </a:schemeClr>
  <a:schemeClr val="accent4">
    <a:lumMod val="50000"/>
  </a:schemeClr>
  <a:schemeClr val="accent5">
    <a:lumMod val="50000"/>
  </a:schemeClr>
  <a:schemeClr val="accent6">
    <a:lumMod val="50000"/>
  </a:schemeClr>
  <a:schemeClr val="accent1">
    <a:lumMod val="70000"/>
    <a:lumOff val="30000"/>
  </a:schemeClr>
  <a:schemeClr val="accent2">
    <a:lumMod val="70000"/>
    <a:lumOff val="30000"/>
  </a:schemeClr>
  <a:schemeClr val="accent3">
    <a:lumMod val="70000"/>
    <a:lumOff val="30000"/>
  </a:schemeClr>
  <a:schemeClr val="accent4">
    <a:lumMod val="70000"/>
    <a:lumOff val="30000"/>
  </a:schemeClr>
  <a:schemeClr val="accent5">
    <a:lumMod val="70000"/>
    <a:lumOff val="30000"/>
  </a:schemeClr>
  <a:schemeClr val="accent6">
    <a:lumMod val="70000"/>
    <a:lumOff val="30000"/>
  </a:schemeClr>
  <a:schemeClr val="accent1">
    <a:lumMod val="70000"/>
  </a:schemeClr>
  <a:schemeClr val="accent2">
    <a:lumMod val="70000"/>
  </a:schemeClr>
  <a:schemeClr val="accent3">
    <a:lumMod val="70000"/>
  </a:schemeClr>
  <a:schemeClr val="accent4">
    <a:lumMod val="70000"/>
  </a:schemeClr>
  <a:schemeClr val="accent5">
    <a:lumMod val="70000"/>
  </a:schemeClr>
  <a:schemeClr val="accent6">
    <a:lumMod val="70000"/>
  </a:schemeClr>
  <a:schemeClr val="accent1">
    <a:lumMod val="50000"/>
    <a:lumOff val="50000"/>
  </a:schemeClr>
  <a:schemeClr val="accent2">
    <a:lumMod val="50000"/>
    <a:lumOff val="50000"/>
  </a:schemeClr>
  <a:schemeClr val="accent3">
    <a:lumMod val="50000"/>
    <a:lumOff val="50000"/>
  </a:schemeClr>
  <a:schemeClr val="accent4">
    <a:lumMod val="50000"/>
    <a:lumOff val="50000"/>
  </a:schemeClr>
  <a:schemeClr val="accent5">
    <a:lumMod val="50000"/>
    <a:lumOff val="50000"/>
  </a:schemeClr>
  <a:schemeClr val="accent6">
    <a:lumMod val="50000"/>
    <a:lumOff val="50000"/>
  </a:schemeClr>
</cs:colorStyle>
</file>

<file path=xl/charts/colors2.xml><?xml version="1.0" encoding="utf-8"?>
<cs:colorStyle xmlns:a="http://schemas.openxmlformats.org/drawingml/2006/main" xmlns:cs="http://schemas.microsoft.com/office/drawing/2012/chartStyle" meth="cycle" id="10">
  <a:schemeClr val="accent1"/>
  <a:schemeClr val="accent2"/>
  <a:schemeClr val="accent3"/>
  <a:schemeClr val="accent4"/>
  <a:schemeClr val="accent5"/>
  <a:schemeClr val="accent6"/>
  <a:schemeClr val="accent1">
    <a:lumMod val="60000"/>
  </a:schemeClr>
  <a:schemeClr val="accent2">
    <a:lumMod val="60000"/>
  </a:schemeClr>
  <a:schemeClr val="accent3">
    <a:lumMod val="60000"/>
  </a:schemeClr>
  <a:schemeClr val="accent4">
    <a:lumMod val="60000"/>
  </a:schemeClr>
  <a:schemeClr val="accent5">
    <a:lumMod val="60000"/>
  </a:schemeClr>
  <a:schemeClr val="accent6">
    <a:lumMod val="60000"/>
  </a:schemeClr>
  <a:schemeClr val="accent1">
    <a:lumMod val="80000"/>
    <a:lumOff val="20000"/>
  </a:schemeClr>
  <a:schemeClr val="accent2">
    <a:lumMod val="80000"/>
    <a:lumOff val="20000"/>
  </a:schemeClr>
  <a:schemeClr val="accent3">
    <a:lumMod val="80000"/>
    <a:lumOff val="20000"/>
  </a:schemeClr>
  <a:schemeClr val="accent4">
    <a:lumMod val="80000"/>
    <a:lumOff val="20000"/>
  </a:schemeClr>
  <a:schemeClr val="accent5">
    <a:lumMod val="80000"/>
    <a:lumOff val="20000"/>
  </a:schemeClr>
  <a:schemeClr val="accent6">
    <a:lumMod val="80000"/>
    <a:lumOff val="20000"/>
  </a:schemeClr>
  <a:schemeClr val="accent1">
    <a:lumMod val="80000"/>
  </a:schemeClr>
  <a:schemeClr val="accent2">
    <a:lumMod val="80000"/>
  </a:schemeClr>
  <a:schemeClr val="accent3">
    <a:lumMod val="80000"/>
  </a:schemeClr>
  <a:schemeClr val="accent4">
    <a:lumMod val="80000"/>
  </a:schemeClr>
  <a:schemeClr val="accent5">
    <a:lumMod val="80000"/>
  </a:schemeClr>
  <a:schemeClr val="accent6">
    <a:lumMod val="80000"/>
  </a:schemeClr>
  <a:schemeClr val="accent1">
    <a:lumMod val="60000"/>
    <a:lumOff val="40000"/>
  </a:schemeClr>
  <a:schemeClr val="accent2">
    <a:lumMod val="60000"/>
    <a:lumOff val="40000"/>
  </a:schemeClr>
  <a:schemeClr val="accent3">
    <a:lumMod val="60000"/>
    <a:lumOff val="40000"/>
  </a:schemeClr>
  <a:schemeClr val="accent4">
    <a:lumMod val="60000"/>
    <a:lumOff val="40000"/>
  </a:schemeClr>
  <a:schemeClr val="accent5">
    <a:lumMod val="60000"/>
    <a:lumOff val="40000"/>
  </a:schemeClr>
  <a:schemeClr val="accent6">
    <a:lumMod val="60000"/>
    <a:lumOff val="40000"/>
  </a:schemeClr>
  <a:schemeClr val="accent1">
    <a:lumMod val="50000"/>
  </a:schemeClr>
  <a:schemeClr val="accent2">
    <a:lumMod val="50000"/>
  </a:schemeClr>
  <a:schemeClr val="accent3">
    <a:lumMod val="50000"/>
  </a:schemeClr>
  <a:schemeClr val="accent4">
    <a:lumMod val="50000"/>
  </a:schemeClr>
  <a:schemeClr val="accent5">
    <a:lumMod val="50000"/>
  </a:schemeClr>
  <a:schemeClr val="accent6">
    <a:lumMod val="50000"/>
  </a:schemeClr>
  <a:schemeClr val="accent1">
    <a:lumMod val="70000"/>
    <a:lumOff val="30000"/>
  </a:schemeClr>
  <a:schemeClr val="accent2">
    <a:lumMod val="70000"/>
    <a:lumOff val="30000"/>
  </a:schemeClr>
  <a:schemeClr val="accent3">
    <a:lumMod val="70000"/>
    <a:lumOff val="30000"/>
  </a:schemeClr>
  <a:schemeClr val="accent4">
    <a:lumMod val="70000"/>
    <a:lumOff val="30000"/>
  </a:schemeClr>
  <a:schemeClr val="accent5">
    <a:lumMod val="70000"/>
    <a:lumOff val="30000"/>
  </a:schemeClr>
  <a:schemeClr val="accent6">
    <a:lumMod val="70000"/>
    <a:lumOff val="30000"/>
  </a:schemeClr>
  <a:schemeClr val="accent1">
    <a:lumMod val="70000"/>
  </a:schemeClr>
  <a:schemeClr val="accent2">
    <a:lumMod val="70000"/>
  </a:schemeClr>
  <a:schemeClr val="accent3">
    <a:lumMod val="70000"/>
  </a:schemeClr>
  <a:schemeClr val="accent4">
    <a:lumMod val="70000"/>
  </a:schemeClr>
  <a:schemeClr val="accent5">
    <a:lumMod val="70000"/>
  </a:schemeClr>
  <a:schemeClr val="accent6">
    <a:lumMod val="70000"/>
  </a:schemeClr>
  <a:schemeClr val="accent1">
    <a:lumMod val="50000"/>
    <a:lumOff val="50000"/>
  </a:schemeClr>
  <a:schemeClr val="accent2">
    <a:lumMod val="50000"/>
    <a:lumOff val="50000"/>
  </a:schemeClr>
  <a:schemeClr val="accent3">
    <a:lumMod val="50000"/>
    <a:lumOff val="50000"/>
  </a:schemeClr>
  <a:schemeClr val="accent4">
    <a:lumMod val="50000"/>
    <a:lumOff val="50000"/>
  </a:schemeClr>
  <a:schemeClr val="accent5">
    <a:lumMod val="50000"/>
    <a:lumOff val="50000"/>
  </a:schemeClr>
  <a:schemeClr val="accent6">
    <a:lumMod val="50000"/>
    <a:lumOff val="50000"/>
  </a:schemeClr>
</cs:colorStyle>
</file>

<file path=xl/charts/colors3.xml><?xml version="1.0" encoding="utf-8"?>
<cs:colorStyle xmlns:a="http://schemas.openxmlformats.org/drawingml/2006/main" xmlns:cs="http://schemas.microsoft.com/office/drawing/2012/chartStyle" meth="cycle" id="10">
  <a:schemeClr val="accent1"/>
  <a:schemeClr val="accent2"/>
  <a:schemeClr val="accent3"/>
  <a:schemeClr val="accent4"/>
  <a:schemeClr val="accent5"/>
  <a:schemeClr val="accent6"/>
  <a:schemeClr val="accent1">
    <a:lumMod val="60000"/>
  </a:schemeClr>
  <a:schemeClr val="accent2">
    <a:lumMod val="60000"/>
  </a:schemeClr>
  <a:schemeClr val="accent3">
    <a:lumMod val="60000"/>
  </a:schemeClr>
  <a:schemeClr val="accent4">
    <a:lumMod val="60000"/>
  </a:schemeClr>
  <a:schemeClr val="accent5">
    <a:lumMod val="60000"/>
  </a:schemeClr>
  <a:schemeClr val="accent6">
    <a:lumMod val="60000"/>
  </a:schemeClr>
  <a:schemeClr val="accent1">
    <a:lumMod val="80000"/>
    <a:lumOff val="20000"/>
  </a:schemeClr>
  <a:schemeClr val="accent2">
    <a:lumMod val="80000"/>
    <a:lumOff val="20000"/>
  </a:schemeClr>
  <a:schemeClr val="accent3">
    <a:lumMod val="80000"/>
    <a:lumOff val="20000"/>
  </a:schemeClr>
  <a:schemeClr val="accent4">
    <a:lumMod val="80000"/>
    <a:lumOff val="20000"/>
  </a:schemeClr>
  <a:schemeClr val="accent5">
    <a:lumMod val="80000"/>
    <a:lumOff val="20000"/>
  </a:schemeClr>
  <a:schemeClr val="accent6">
    <a:lumMod val="80000"/>
    <a:lumOff val="20000"/>
  </a:schemeClr>
  <a:schemeClr val="accent1">
    <a:lumMod val="80000"/>
  </a:schemeClr>
  <a:schemeClr val="accent2">
    <a:lumMod val="80000"/>
  </a:schemeClr>
  <a:schemeClr val="accent3">
    <a:lumMod val="80000"/>
  </a:schemeClr>
  <a:schemeClr val="accent4">
    <a:lumMod val="80000"/>
  </a:schemeClr>
  <a:schemeClr val="accent5">
    <a:lumMod val="80000"/>
  </a:schemeClr>
  <a:schemeClr val="accent6">
    <a:lumMod val="80000"/>
  </a:schemeClr>
  <a:schemeClr val="accent1">
    <a:lumMod val="60000"/>
    <a:lumOff val="40000"/>
  </a:schemeClr>
  <a:schemeClr val="accent2">
    <a:lumMod val="60000"/>
    <a:lumOff val="40000"/>
  </a:schemeClr>
  <a:schemeClr val="accent3">
    <a:lumMod val="60000"/>
    <a:lumOff val="40000"/>
  </a:schemeClr>
  <a:schemeClr val="accent4">
    <a:lumMod val="60000"/>
    <a:lumOff val="40000"/>
  </a:schemeClr>
  <a:schemeClr val="accent5">
    <a:lumMod val="60000"/>
    <a:lumOff val="40000"/>
  </a:schemeClr>
  <a:schemeClr val="accent6">
    <a:lumMod val="60000"/>
    <a:lumOff val="40000"/>
  </a:schemeClr>
  <a:schemeClr val="accent1">
    <a:lumMod val="50000"/>
  </a:schemeClr>
  <a:schemeClr val="accent2">
    <a:lumMod val="50000"/>
  </a:schemeClr>
  <a:schemeClr val="accent3">
    <a:lumMod val="50000"/>
  </a:schemeClr>
  <a:schemeClr val="accent4">
    <a:lumMod val="50000"/>
  </a:schemeClr>
  <a:schemeClr val="accent5">
    <a:lumMod val="50000"/>
  </a:schemeClr>
  <a:schemeClr val="accent6">
    <a:lumMod val="50000"/>
  </a:schemeClr>
  <a:schemeClr val="accent1">
    <a:lumMod val="70000"/>
    <a:lumOff val="30000"/>
  </a:schemeClr>
  <a:schemeClr val="accent2">
    <a:lumMod val="70000"/>
    <a:lumOff val="30000"/>
  </a:schemeClr>
  <a:schemeClr val="accent3">
    <a:lumMod val="70000"/>
    <a:lumOff val="30000"/>
  </a:schemeClr>
  <a:schemeClr val="accent4">
    <a:lumMod val="70000"/>
    <a:lumOff val="30000"/>
  </a:schemeClr>
  <a:schemeClr val="accent5">
    <a:lumMod val="70000"/>
    <a:lumOff val="30000"/>
  </a:schemeClr>
  <a:schemeClr val="accent6">
    <a:lumMod val="70000"/>
    <a:lumOff val="30000"/>
  </a:schemeClr>
  <a:schemeClr val="accent1">
    <a:lumMod val="70000"/>
  </a:schemeClr>
  <a:schemeClr val="accent2">
    <a:lumMod val="70000"/>
  </a:schemeClr>
  <a:schemeClr val="accent3">
    <a:lumMod val="70000"/>
  </a:schemeClr>
  <a:schemeClr val="accent4">
    <a:lumMod val="70000"/>
  </a:schemeClr>
  <a:schemeClr val="accent5">
    <a:lumMod val="70000"/>
  </a:schemeClr>
  <a:schemeClr val="accent6">
    <a:lumMod val="70000"/>
  </a:schemeClr>
  <a:schemeClr val="accent1">
    <a:lumMod val="50000"/>
    <a:lumOff val="50000"/>
  </a:schemeClr>
  <a:schemeClr val="accent2">
    <a:lumMod val="50000"/>
    <a:lumOff val="50000"/>
  </a:schemeClr>
  <a:schemeClr val="accent3">
    <a:lumMod val="50000"/>
    <a:lumOff val="50000"/>
  </a:schemeClr>
  <a:schemeClr val="accent4">
    <a:lumMod val="50000"/>
    <a:lumOff val="50000"/>
  </a:schemeClr>
  <a:schemeClr val="accent5">
    <a:lumMod val="50000"/>
    <a:lumOff val="50000"/>
  </a:schemeClr>
  <a:schemeClr val="accent6">
    <a:lumMod val="50000"/>
    <a:lumOff val="50000"/>
  </a:schemeClr>
</cs:colorStyle>
</file>

<file path=xl/charts/colors4.xml><?xml version="1.0" encoding="utf-8"?>
<cs:colorStyle xmlns:a="http://schemas.openxmlformats.org/drawingml/2006/main" xmlns:cs="http://schemas.microsoft.com/office/drawing/2012/chartStyle" meth="cycle" id="10">
  <a:schemeClr val="accent1"/>
  <a:schemeClr val="accent2"/>
  <a:schemeClr val="accent3"/>
  <a:schemeClr val="accent4"/>
  <a:schemeClr val="accent5"/>
  <a:schemeClr val="accent6"/>
  <a:schemeClr val="accent1">
    <a:lumMod val="60000"/>
  </a:schemeClr>
  <a:schemeClr val="accent2">
    <a:lumMod val="60000"/>
  </a:schemeClr>
  <a:schemeClr val="accent3">
    <a:lumMod val="60000"/>
  </a:schemeClr>
  <a:schemeClr val="accent4">
    <a:lumMod val="60000"/>
  </a:schemeClr>
  <a:schemeClr val="accent5">
    <a:lumMod val="60000"/>
  </a:schemeClr>
  <a:schemeClr val="accent6">
    <a:lumMod val="60000"/>
  </a:schemeClr>
  <a:schemeClr val="accent1">
    <a:lumMod val="80000"/>
    <a:lumOff val="20000"/>
  </a:schemeClr>
  <a:schemeClr val="accent2">
    <a:lumMod val="80000"/>
    <a:lumOff val="20000"/>
  </a:schemeClr>
  <a:schemeClr val="accent3">
    <a:lumMod val="80000"/>
    <a:lumOff val="20000"/>
  </a:schemeClr>
  <a:schemeClr val="accent4">
    <a:lumMod val="80000"/>
    <a:lumOff val="20000"/>
  </a:schemeClr>
  <a:schemeClr val="accent5">
    <a:lumMod val="80000"/>
    <a:lumOff val="20000"/>
  </a:schemeClr>
  <a:schemeClr val="accent6">
    <a:lumMod val="80000"/>
    <a:lumOff val="20000"/>
  </a:schemeClr>
  <a:schemeClr val="accent1">
    <a:lumMod val="80000"/>
  </a:schemeClr>
  <a:schemeClr val="accent2">
    <a:lumMod val="80000"/>
  </a:schemeClr>
  <a:schemeClr val="accent3">
    <a:lumMod val="80000"/>
  </a:schemeClr>
  <a:schemeClr val="accent4">
    <a:lumMod val="80000"/>
  </a:schemeClr>
  <a:schemeClr val="accent5">
    <a:lumMod val="80000"/>
  </a:schemeClr>
  <a:schemeClr val="accent6">
    <a:lumMod val="80000"/>
  </a:schemeClr>
  <a:schemeClr val="accent1">
    <a:lumMod val="60000"/>
    <a:lumOff val="40000"/>
  </a:schemeClr>
  <a:schemeClr val="accent2">
    <a:lumMod val="60000"/>
    <a:lumOff val="40000"/>
  </a:schemeClr>
  <a:schemeClr val="accent3">
    <a:lumMod val="60000"/>
    <a:lumOff val="40000"/>
  </a:schemeClr>
  <a:schemeClr val="accent4">
    <a:lumMod val="60000"/>
    <a:lumOff val="40000"/>
  </a:schemeClr>
  <a:schemeClr val="accent5">
    <a:lumMod val="60000"/>
    <a:lumOff val="40000"/>
  </a:schemeClr>
  <a:schemeClr val="accent6">
    <a:lumMod val="60000"/>
    <a:lumOff val="40000"/>
  </a:schemeClr>
  <a:schemeClr val="accent1">
    <a:lumMod val="50000"/>
  </a:schemeClr>
  <a:schemeClr val="accent2">
    <a:lumMod val="50000"/>
  </a:schemeClr>
  <a:schemeClr val="accent3">
    <a:lumMod val="50000"/>
  </a:schemeClr>
  <a:schemeClr val="accent4">
    <a:lumMod val="50000"/>
  </a:schemeClr>
  <a:schemeClr val="accent5">
    <a:lumMod val="50000"/>
  </a:schemeClr>
  <a:schemeClr val="accent6">
    <a:lumMod val="50000"/>
  </a:schemeClr>
  <a:schemeClr val="accent1">
    <a:lumMod val="70000"/>
    <a:lumOff val="30000"/>
  </a:schemeClr>
  <a:schemeClr val="accent2">
    <a:lumMod val="70000"/>
    <a:lumOff val="30000"/>
  </a:schemeClr>
  <a:schemeClr val="accent3">
    <a:lumMod val="70000"/>
    <a:lumOff val="30000"/>
  </a:schemeClr>
  <a:schemeClr val="accent4">
    <a:lumMod val="70000"/>
    <a:lumOff val="30000"/>
  </a:schemeClr>
  <a:schemeClr val="accent5">
    <a:lumMod val="70000"/>
    <a:lumOff val="30000"/>
  </a:schemeClr>
  <a:schemeClr val="accent6">
    <a:lumMod val="70000"/>
    <a:lumOff val="30000"/>
  </a:schemeClr>
  <a:schemeClr val="accent1">
    <a:lumMod val="70000"/>
  </a:schemeClr>
  <a:schemeClr val="accent2">
    <a:lumMod val="70000"/>
  </a:schemeClr>
  <a:schemeClr val="accent3">
    <a:lumMod val="70000"/>
  </a:schemeClr>
  <a:schemeClr val="accent4">
    <a:lumMod val="70000"/>
  </a:schemeClr>
  <a:schemeClr val="accent5">
    <a:lumMod val="70000"/>
  </a:schemeClr>
  <a:schemeClr val="accent6">
    <a:lumMod val="70000"/>
  </a:schemeClr>
  <a:schemeClr val="accent1">
    <a:lumMod val="50000"/>
    <a:lumOff val="50000"/>
  </a:schemeClr>
  <a:schemeClr val="accent2">
    <a:lumMod val="50000"/>
    <a:lumOff val="50000"/>
  </a:schemeClr>
  <a:schemeClr val="accent3">
    <a:lumMod val="50000"/>
    <a:lumOff val="50000"/>
  </a:schemeClr>
  <a:schemeClr val="accent4">
    <a:lumMod val="50000"/>
    <a:lumOff val="50000"/>
  </a:schemeClr>
  <a:schemeClr val="accent5">
    <a:lumMod val="50000"/>
    <a:lumOff val="50000"/>
  </a:schemeClr>
  <a:schemeClr val="accent6">
    <a:lumMod val="50000"/>
    <a:lumOff val="50000"/>
  </a:schemeClr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438150</xdr:colOff>
      <xdr:row>14</xdr:row>
      <xdr:rowOff>76200</xdr:rowOff>
    </xdr:to>
    <xdr:graphicFrame>
      <xdr:nvGraphicFramePr>
        <xdr:cNvPr id="2" name="RevenueByProduct"/>
        <xdr:cNvGraphicFramePr>
          <a:graphicFrameLocks noChangeAspect="0"/>
        </xdr:cNvGraphicFramePr>
      </xdr:nvGraphicFramePr>
      <xdr:xfrm>
        <a:off x="0" y="0"/>
        <a:ext cx="4572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0</xdr:rowOff>
    </xdr:from>
    <xdr:to>
      <xdr:col>7</xdr:col>
      <xdr:colOff>438150</xdr:colOff>
      <xdr:row>29</xdr:row>
      <xdr:rowOff>76200</xdr:rowOff>
    </xdr:to>
    <xdr:graphicFrame>
      <xdr:nvGraphicFramePr>
        <xdr:cNvPr id="3" name="ProfitByProduct"/>
        <xdr:cNvGraphicFramePr>
          <a:graphicFrameLocks noChangeAspect="0"/>
        </xdr:cNvGraphicFramePr>
      </xdr:nvGraphicFramePr>
      <xdr:xfrm>
        <a:off x="0" y="2857500"/>
        <a:ext cx="4572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38100</xdr:colOff>
      <xdr:row>0</xdr:row>
      <xdr:rowOff>0</xdr:rowOff>
    </xdr:from>
    <xdr:to>
      <xdr:col>15</xdr:col>
      <xdr:colOff>476250</xdr:colOff>
      <xdr:row>14</xdr:row>
      <xdr:rowOff>76200</xdr:rowOff>
    </xdr:to>
    <xdr:graphicFrame>
      <xdr:nvGraphicFramePr>
        <xdr:cNvPr id="4" name="RevenueTrend"/>
        <xdr:cNvGraphicFramePr>
          <a:graphicFrameLocks noChangeAspect="0"/>
        </xdr:cNvGraphicFramePr>
      </xdr:nvGraphicFramePr>
      <xdr:xfrm>
        <a:off x="4762500" y="0"/>
        <a:ext cx="4572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38100</xdr:colOff>
      <xdr:row>15</xdr:row>
      <xdr:rowOff>0</xdr:rowOff>
    </xdr:from>
    <xdr:to>
      <xdr:col>15</xdr:col>
      <xdr:colOff>476250</xdr:colOff>
      <xdr:row>29</xdr:row>
      <xdr:rowOff>76200</xdr:rowOff>
    </xdr:to>
    <xdr:graphicFrame>
      <xdr:nvGraphicFramePr>
        <xdr:cNvPr id="5" name="RevenueByBranch"/>
        <xdr:cNvGraphicFramePr>
          <a:graphicFrameLocks noChangeAspect="0"/>
        </xdr:cNvGraphicFramePr>
      </xdr:nvGraphicFramePr>
      <xdr:xfrm>
        <a:off x="4762500" y="2857500"/>
        <a:ext cx="4572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6075043-438B-FD08-A358-5DB6FBEE28A6}" mc:Ignorable="x14ac xr xr2 xr3">
  <dimension ref="A1:GR1000"/>
  <sheetViews>
    <sheetView rightToLeft="1" topLeftCell="A1" workbookViewId="0">
      <selection activeCell="J2" sqref="J2"/>
    </sheetView>
  </sheetViews>
  <sheetFormatPr defaultRowHeight="13.799999999999999" defaultColWidth="9.140625" customHeight="1"/>
  <cols>
    <col min="7" max="7" width="10.8515625" customWidth="1"/>
    <col min="8" max="10" width="10.00390625" customWidth="1"/>
    <col min="11" max="11" width="8.421875" customWidth="1"/>
  </cols>
  <sheetData>
    <row r="1" ht="2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4.25" customHeight="1">
      <c r="A2" s="3">
        <v>2023</v>
      </c>
      <c r="B2" s="3" t="s">
        <v>11</v>
      </c>
      <c r="C2" s="3" t="s">
        <v>12</v>
      </c>
      <c r="D2" s="3" t="s">
        <v>13</v>
      </c>
      <c r="E2" s="3">
        <v>320</v>
      </c>
      <c r="F2" s="3">
        <v>120</v>
      </c>
      <c r="G2" s="4">
        <f>_xlfn.XLOOKUP(A2&amp;C2,Costs!$D$2:$D$16,Costs!$C$2:$C$16,0)</f>
        <v>70</v>
      </c>
      <c r="H2" s="5">
        <f t="shared" si="0" ref="H2:H31">E2*F2</f>
        <v>38400</v>
      </c>
      <c r="I2" s="5">
        <f t="shared" si="1" ref="I2:I31">E2*G2</f>
        <v>22400</v>
      </c>
      <c r="J2" s="5">
        <f t="shared" si="2" ref="J2:J31">H2-I2</f>
        <v>16000</v>
      </c>
      <c r="K2" s="6">
        <f t="shared" si="3" ref="K2:K31">J2/H2</f>
        <v>0.416666666666667</v>
      </c>
    </row>
    <row r="3" ht="14.25" customHeight="1">
      <c r="A3" s="3">
        <v>2023</v>
      </c>
      <c r="B3" s="3" t="s">
        <v>14</v>
      </c>
      <c r="C3" s="3" t="s">
        <v>12</v>
      </c>
      <c r="D3" s="3" t="s">
        <v>15</v>
      </c>
      <c r="E3" s="3">
        <v>280</v>
      </c>
      <c r="F3" s="3">
        <v>120</v>
      </c>
      <c r="G3" s="4">
        <f>_xlfn.XLOOKUP(A3&amp;C3,Costs!$D$2:$D$16,Costs!$C$2:$C$16,0)</f>
        <v>70</v>
      </c>
      <c r="H3" s="5">
        <f t="shared" si="0"/>
        <v>33600</v>
      </c>
      <c r="I3" s="5">
        <f t="shared" si="1"/>
        <v>19600</v>
      </c>
      <c r="J3" s="5">
        <f t="shared" si="2"/>
        <v>14000</v>
      </c>
      <c r="K3" s="6">
        <f t="shared" si="3"/>
        <v>0.416666666666667</v>
      </c>
    </row>
    <row r="4" ht="14.25" customHeight="1">
      <c r="A4" s="3">
        <v>2023</v>
      </c>
      <c r="B4" s="3" t="s">
        <v>16</v>
      </c>
      <c r="C4" s="3" t="s">
        <v>17</v>
      </c>
      <c r="D4" s="3" t="s">
        <v>18</v>
      </c>
      <c r="E4" s="3">
        <v>210</v>
      </c>
      <c r="F4" s="3">
        <v>150</v>
      </c>
      <c r="G4" s="4">
        <f>_xlfn.XLOOKUP(A4&amp;C4,Costs!$D$2:$D$16,Costs!$C$2:$C$16,0)</f>
        <v>90</v>
      </c>
      <c r="H4" s="5">
        <f t="shared" si="0"/>
        <v>31500</v>
      </c>
      <c r="I4" s="5">
        <f t="shared" si="1"/>
        <v>18900</v>
      </c>
      <c r="J4" s="5">
        <f t="shared" si="2"/>
        <v>12600</v>
      </c>
      <c r="K4" s="6">
        <f t="shared" si="3"/>
        <v>0.4</v>
      </c>
    </row>
    <row r="5" ht="14.25" customHeight="1">
      <c r="A5" s="3">
        <v>2023</v>
      </c>
      <c r="B5" s="3" t="s">
        <v>19</v>
      </c>
      <c r="C5" s="3" t="s">
        <v>20</v>
      </c>
      <c r="D5" s="3" t="s">
        <v>21</v>
      </c>
      <c r="E5" s="3">
        <v>150</v>
      </c>
      <c r="F5" s="3">
        <v>210</v>
      </c>
      <c r="G5" s="4">
        <f>_xlfn.XLOOKUP(A5&amp;C5,Costs!$D$2:$D$16,Costs!$C$2:$C$16,0)</f>
        <v>140</v>
      </c>
      <c r="H5" s="5">
        <f t="shared" si="0"/>
        <v>31500</v>
      </c>
      <c r="I5" s="5">
        <f t="shared" si="1"/>
        <v>21000</v>
      </c>
      <c r="J5" s="5">
        <f t="shared" si="2"/>
        <v>10500</v>
      </c>
      <c r="K5" s="6">
        <f t="shared" si="3"/>
        <v>0.333333333333333</v>
      </c>
    </row>
    <row r="6" ht="14.25" customHeight="1">
      <c r="A6" s="3">
        <v>2023</v>
      </c>
      <c r="B6" s="3" t="s">
        <v>22</v>
      </c>
      <c r="C6" s="3" t="s">
        <v>23</v>
      </c>
      <c r="D6" s="3" t="s">
        <v>24</v>
      </c>
      <c r="E6" s="3">
        <v>180</v>
      </c>
      <c r="F6" s="3">
        <v>180</v>
      </c>
      <c r="G6" s="4">
        <f>_xlfn.XLOOKUP(A6&amp;C6,Costs!$D$2:$D$16,Costs!$C$2:$C$16,0)</f>
        <v>110</v>
      </c>
      <c r="H6" s="5">
        <f t="shared" si="0"/>
        <v>32400</v>
      </c>
      <c r="I6" s="5">
        <f t="shared" si="1"/>
        <v>19800</v>
      </c>
      <c r="J6" s="5">
        <f t="shared" si="2"/>
        <v>12600</v>
      </c>
      <c r="K6" s="6">
        <f t="shared" si="3"/>
        <v>0.388888888888889</v>
      </c>
    </row>
    <row r="7" ht="14.25" customHeight="1">
      <c r="A7" s="3">
        <v>2023</v>
      </c>
      <c r="B7" s="3" t="s">
        <v>11</v>
      </c>
      <c r="C7" s="3" t="s">
        <v>25</v>
      </c>
      <c r="D7" s="3" t="s">
        <v>13</v>
      </c>
      <c r="E7" s="3">
        <v>140</v>
      </c>
      <c r="F7" s="3">
        <v>240</v>
      </c>
      <c r="G7" s="4">
        <f>_xlfn.XLOOKUP(A7&amp;C7,Costs!$D$2:$D$16,Costs!$C$2:$C$16,0)</f>
        <v>190</v>
      </c>
      <c r="H7" s="5">
        <f t="shared" si="0"/>
        <v>33600</v>
      </c>
      <c r="I7" s="5">
        <f t="shared" si="1"/>
        <v>26600</v>
      </c>
      <c r="J7" s="5">
        <f t="shared" si="2"/>
        <v>7000</v>
      </c>
      <c r="K7" s="6">
        <f t="shared" si="3"/>
        <v>0.208333333333333</v>
      </c>
    </row>
    <row r="8" ht="14.25" customHeight="1">
      <c r="A8" s="3">
        <v>2023</v>
      </c>
      <c r="B8" s="3" t="s">
        <v>14</v>
      </c>
      <c r="C8" s="3" t="s">
        <v>17</v>
      </c>
      <c r="D8" s="3" t="s">
        <v>15</v>
      </c>
      <c r="E8" s="3">
        <v>190</v>
      </c>
      <c r="F8" s="3">
        <v>150</v>
      </c>
      <c r="G8" s="4">
        <f>_xlfn.XLOOKUP(A8&amp;C8,Costs!$D$2:$D$16,Costs!$C$2:$C$16,0)</f>
        <v>90</v>
      </c>
      <c r="H8" s="5">
        <f t="shared" si="0"/>
        <v>28500</v>
      </c>
      <c r="I8" s="5">
        <f t="shared" si="1"/>
        <v>17100</v>
      </c>
      <c r="J8" s="5">
        <f t="shared" si="2"/>
        <v>11400</v>
      </c>
      <c r="K8" s="6">
        <f t="shared" si="3"/>
        <v>0.4</v>
      </c>
    </row>
    <row r="9" ht="14.25" customHeight="1">
      <c r="A9" s="3">
        <v>2023</v>
      </c>
      <c r="B9" s="3" t="s">
        <v>16</v>
      </c>
      <c r="C9" s="3" t="s">
        <v>23</v>
      </c>
      <c r="D9" s="3" t="s">
        <v>18</v>
      </c>
      <c r="E9" s="3">
        <v>160</v>
      </c>
      <c r="F9" s="3">
        <v>180</v>
      </c>
      <c r="G9" s="4">
        <f>_xlfn.XLOOKUP(A9&amp;C9,Costs!$D$2:$D$16,Costs!$C$2:$C$16,0)</f>
        <v>110</v>
      </c>
      <c r="H9" s="5">
        <f t="shared" si="0"/>
        <v>28800</v>
      </c>
      <c r="I9" s="5">
        <f t="shared" si="1"/>
        <v>17600</v>
      </c>
      <c r="J9" s="5">
        <f t="shared" si="2"/>
        <v>11200</v>
      </c>
      <c r="K9" s="6">
        <f t="shared" si="3"/>
        <v>0.388888888888889</v>
      </c>
    </row>
    <row r="10" ht="14.25" customHeight="1">
      <c r="A10" s="3">
        <v>2023</v>
      </c>
      <c r="B10" s="3" t="s">
        <v>19</v>
      </c>
      <c r="C10" s="3" t="s">
        <v>12</v>
      </c>
      <c r="D10" s="3" t="s">
        <v>21</v>
      </c>
      <c r="E10" s="3">
        <v>200</v>
      </c>
      <c r="F10" s="3">
        <v>120</v>
      </c>
      <c r="G10" s="4">
        <f>_xlfn.XLOOKUP(A10&amp;C10,Costs!$D$2:$D$16,Costs!$C$2:$C$16,0)</f>
        <v>70</v>
      </c>
      <c r="H10" s="5">
        <f t="shared" si="0"/>
        <v>24000</v>
      </c>
      <c r="I10" s="5">
        <f t="shared" si="1"/>
        <v>14000</v>
      </c>
      <c r="J10" s="5">
        <f t="shared" si="2"/>
        <v>10000</v>
      </c>
      <c r="K10" s="6">
        <f t="shared" si="3"/>
        <v>0.416666666666667</v>
      </c>
    </row>
    <row r="11" ht="14.25" customHeight="1">
      <c r="A11" s="3">
        <v>2023</v>
      </c>
      <c r="B11" s="3" t="s">
        <v>22</v>
      </c>
      <c r="C11" s="3" t="s">
        <v>20</v>
      </c>
      <c r="D11" s="3" t="s">
        <v>24</v>
      </c>
      <c r="E11" s="3">
        <v>170</v>
      </c>
      <c r="F11" s="3">
        <v>210</v>
      </c>
      <c r="G11" s="4">
        <f>_xlfn.XLOOKUP(A11&amp;C11,Costs!$D$2:$D$16,Costs!$C$2:$C$16,0)</f>
        <v>140</v>
      </c>
      <c r="H11" s="5">
        <f t="shared" si="0"/>
        <v>35700</v>
      </c>
      <c r="I11" s="5">
        <f t="shared" si="1"/>
        <v>23800</v>
      </c>
      <c r="J11" s="5">
        <f t="shared" si="2"/>
        <v>11900</v>
      </c>
      <c r="K11" s="6">
        <f t="shared" si="3"/>
        <v>0.333333333333333</v>
      </c>
    </row>
    <row r="12" ht="14.25" customHeight="1">
      <c r="A12" s="3">
        <v>2024</v>
      </c>
      <c r="B12" s="3" t="s">
        <v>11</v>
      </c>
      <c r="C12" s="3" t="s">
        <v>12</v>
      </c>
      <c r="D12" s="3" t="s">
        <v>13</v>
      </c>
      <c r="E12" s="3">
        <v>420</v>
      </c>
      <c r="F12" s="3">
        <v>125</v>
      </c>
      <c r="G12" s="4">
        <f>_xlfn.XLOOKUP(A12&amp;C12,Costs!$D$2:$D$16,Costs!$C$2:$C$16,0)</f>
        <v>70</v>
      </c>
      <c r="H12" s="5">
        <f t="shared" si="0"/>
        <v>52500</v>
      </c>
      <c r="I12" s="5">
        <f t="shared" si="1"/>
        <v>29400</v>
      </c>
      <c r="J12" s="5">
        <f t="shared" si="2"/>
        <v>23100</v>
      </c>
      <c r="K12" s="6">
        <f t="shared" si="3"/>
        <v>0.44</v>
      </c>
    </row>
    <row r="13" ht="14.25" customHeight="1">
      <c r="A13" s="3">
        <v>2024</v>
      </c>
      <c r="B13" s="3" t="s">
        <v>14</v>
      </c>
      <c r="C13" s="3" t="s">
        <v>12</v>
      </c>
      <c r="D13" s="3" t="s">
        <v>15</v>
      </c>
      <c r="E13" s="3">
        <v>300</v>
      </c>
      <c r="F13" s="3">
        <v>125</v>
      </c>
      <c r="G13" s="4">
        <f>_xlfn.XLOOKUP(A13&amp;C13,Costs!$D$2:$D$16,Costs!$C$2:$C$16,0)</f>
        <v>70</v>
      </c>
      <c r="H13" s="5">
        <f t="shared" si="0"/>
        <v>37500</v>
      </c>
      <c r="I13" s="5">
        <f t="shared" si="1"/>
        <v>21000</v>
      </c>
      <c r="J13" s="5">
        <f t="shared" si="2"/>
        <v>16500</v>
      </c>
      <c r="K13" s="6">
        <f t="shared" si="3"/>
        <v>0.44</v>
      </c>
    </row>
    <row r="14" ht="14.25" customHeight="1">
      <c r="A14" s="3">
        <v>2024</v>
      </c>
      <c r="B14" s="3" t="s">
        <v>16</v>
      </c>
      <c r="C14" s="3" t="s">
        <v>17</v>
      </c>
      <c r="D14" s="3" t="s">
        <v>18</v>
      </c>
      <c r="E14" s="3">
        <v>260</v>
      </c>
      <c r="F14" s="3">
        <v>150</v>
      </c>
      <c r="G14" s="4">
        <f>_xlfn.XLOOKUP(A14&amp;C14,Costs!$D$2:$D$16,Costs!$C$2:$C$16,0)</f>
        <v>90</v>
      </c>
      <c r="H14" s="5">
        <f t="shared" si="0"/>
        <v>39000</v>
      </c>
      <c r="I14" s="5">
        <f t="shared" si="1"/>
        <v>23400</v>
      </c>
      <c r="J14" s="5">
        <f t="shared" si="2"/>
        <v>15600</v>
      </c>
      <c r="K14" s="6">
        <f t="shared" si="3"/>
        <v>0.4</v>
      </c>
    </row>
    <row r="15" ht="14.25" customHeight="1">
      <c r="A15" s="3">
        <v>2024</v>
      </c>
      <c r="B15" s="3" t="s">
        <v>19</v>
      </c>
      <c r="C15" s="3" t="s">
        <v>20</v>
      </c>
      <c r="D15" s="3" t="s">
        <v>21</v>
      </c>
      <c r="E15" s="3">
        <v>180</v>
      </c>
      <c r="F15" s="3">
        <v>210</v>
      </c>
      <c r="G15" s="4">
        <f>_xlfn.XLOOKUP(A15&amp;C15,Costs!$D$2:$D$16,Costs!$C$2:$C$16,0)</f>
        <v>150</v>
      </c>
      <c r="H15" s="5">
        <f t="shared" si="0"/>
        <v>37800</v>
      </c>
      <c r="I15" s="5">
        <f t="shared" si="1"/>
        <v>27000</v>
      </c>
      <c r="J15" s="5">
        <f t="shared" si="2"/>
        <v>10800</v>
      </c>
      <c r="K15" s="6">
        <f t="shared" si="3"/>
        <v>0.285714285714286</v>
      </c>
    </row>
    <row r="16" ht="14.25" customHeight="1">
      <c r="A16" s="3">
        <v>2024</v>
      </c>
      <c r="B16" s="3" t="s">
        <v>22</v>
      </c>
      <c r="C16" s="3" t="s">
        <v>23</v>
      </c>
      <c r="D16" s="3" t="s">
        <v>24</v>
      </c>
      <c r="E16" s="3">
        <v>210</v>
      </c>
      <c r="F16" s="3">
        <v>185</v>
      </c>
      <c r="G16" s="4">
        <f>_xlfn.XLOOKUP(A16&amp;C16,Costs!$D$2:$D$16,Costs!$C$2:$C$16,0)</f>
        <v>120</v>
      </c>
      <c r="H16" s="5">
        <f t="shared" si="0"/>
        <v>38850</v>
      </c>
      <c r="I16" s="5">
        <f t="shared" si="1"/>
        <v>25200</v>
      </c>
      <c r="J16" s="5">
        <f t="shared" si="2"/>
        <v>13650</v>
      </c>
      <c r="K16" s="6">
        <f t="shared" si="3"/>
        <v>0.351351351351351</v>
      </c>
    </row>
    <row r="17" ht="14.25" customHeight="1">
      <c r="A17" s="3">
        <v>2024</v>
      </c>
      <c r="B17" s="3" t="s">
        <v>11</v>
      </c>
      <c r="C17" s="3" t="s">
        <v>25</v>
      </c>
      <c r="D17" s="3" t="s">
        <v>13</v>
      </c>
      <c r="E17" s="3">
        <v>160</v>
      </c>
      <c r="F17" s="3">
        <v>245</v>
      </c>
      <c r="G17" s="4">
        <f>_xlfn.XLOOKUP(A17&amp;C17,Costs!$D$2:$D$16,Costs!$C$2:$C$16,0)</f>
        <v>200</v>
      </c>
      <c r="H17" s="5">
        <f t="shared" si="0"/>
        <v>39200</v>
      </c>
      <c r="I17" s="5">
        <f t="shared" si="1"/>
        <v>32000</v>
      </c>
      <c r="J17" s="5">
        <f t="shared" si="2"/>
        <v>7200</v>
      </c>
      <c r="K17" s="6">
        <f t="shared" si="3"/>
        <v>0.183673469387755</v>
      </c>
    </row>
    <row r="18" ht="14.25" customHeight="1">
      <c r="A18" s="3">
        <v>2024</v>
      </c>
      <c r="B18" s="3" t="s">
        <v>14</v>
      </c>
      <c r="C18" s="3" t="s">
        <v>20</v>
      </c>
      <c r="D18" s="3" t="s">
        <v>15</v>
      </c>
      <c r="E18" s="3">
        <v>140</v>
      </c>
      <c r="F18" s="3">
        <v>210</v>
      </c>
      <c r="G18" s="4">
        <f>_xlfn.XLOOKUP(A18&amp;C18,Costs!$D$2:$D$16,Costs!$C$2:$C$16,0)</f>
        <v>150</v>
      </c>
      <c r="H18" s="5">
        <f t="shared" si="0"/>
        <v>29400</v>
      </c>
      <c r="I18" s="5">
        <f t="shared" si="1"/>
        <v>21000</v>
      </c>
      <c r="J18" s="5">
        <f t="shared" si="2"/>
        <v>8400</v>
      </c>
      <c r="K18" s="6">
        <f t="shared" si="3"/>
        <v>0.285714285714286</v>
      </c>
    </row>
    <row r="19" ht="14.25" customHeight="1">
      <c r="A19" s="3">
        <v>2024</v>
      </c>
      <c r="B19" s="3" t="s">
        <v>16</v>
      </c>
      <c r="C19" s="3" t="s">
        <v>23</v>
      </c>
      <c r="D19" s="3" t="s">
        <v>18</v>
      </c>
      <c r="E19" s="3">
        <v>200</v>
      </c>
      <c r="F19" s="3">
        <v>185</v>
      </c>
      <c r="G19" s="4">
        <f>_xlfn.XLOOKUP(A19&amp;C19,Costs!$D$2:$D$16,Costs!$C$2:$C$16,0)</f>
        <v>120</v>
      </c>
      <c r="H19" s="5">
        <f t="shared" si="0"/>
        <v>37000</v>
      </c>
      <c r="I19" s="5">
        <f t="shared" si="1"/>
        <v>24000</v>
      </c>
      <c r="J19" s="5">
        <f t="shared" si="2"/>
        <v>13000</v>
      </c>
      <c r="K19" s="6">
        <f t="shared" si="3"/>
        <v>0.351351351351351</v>
      </c>
    </row>
    <row r="20" ht="14.25" customHeight="1">
      <c r="A20" s="3">
        <v>2024</v>
      </c>
      <c r="B20" s="3" t="s">
        <v>19</v>
      </c>
      <c r="C20" s="3" t="s">
        <v>17</v>
      </c>
      <c r="D20" s="3" t="s">
        <v>21</v>
      </c>
      <c r="E20" s="3">
        <v>170</v>
      </c>
      <c r="F20" s="3">
        <v>150</v>
      </c>
      <c r="G20" s="4">
        <f>_xlfn.XLOOKUP(A20&amp;C20,Costs!$D$2:$D$16,Costs!$C$2:$C$16,0)</f>
        <v>90</v>
      </c>
      <c r="H20" s="5">
        <f t="shared" si="0"/>
        <v>25500</v>
      </c>
      <c r="I20" s="5">
        <f t="shared" si="1"/>
        <v>15300</v>
      </c>
      <c r="J20" s="5">
        <f t="shared" si="2"/>
        <v>10200</v>
      </c>
      <c r="K20" s="6">
        <f t="shared" si="3"/>
        <v>0.4</v>
      </c>
    </row>
    <row r="21" ht="14.25" customHeight="1">
      <c r="A21" s="3">
        <v>2024</v>
      </c>
      <c r="B21" s="3" t="s">
        <v>22</v>
      </c>
      <c r="C21" s="3" t="s">
        <v>12</v>
      </c>
      <c r="D21" s="3" t="s">
        <v>24</v>
      </c>
      <c r="E21" s="3">
        <v>220</v>
      </c>
      <c r="F21" s="3">
        <v>125</v>
      </c>
      <c r="G21" s="4">
        <f>_xlfn.XLOOKUP(A21&amp;C21,Costs!$D$2:$D$16,Costs!$C$2:$C$16,0)</f>
        <v>70</v>
      </c>
      <c r="H21" s="5">
        <f t="shared" si="0"/>
        <v>27500</v>
      </c>
      <c r="I21" s="5">
        <f t="shared" si="1"/>
        <v>15400</v>
      </c>
      <c r="J21" s="5">
        <f t="shared" si="2"/>
        <v>12100</v>
      </c>
      <c r="K21" s="6">
        <f t="shared" si="3"/>
        <v>0.44</v>
      </c>
    </row>
    <row r="22" ht="14.25" customHeight="1">
      <c r="A22" s="3">
        <v>2025</v>
      </c>
      <c r="B22" s="3" t="s">
        <v>11</v>
      </c>
      <c r="C22" s="3" t="s">
        <v>12</v>
      </c>
      <c r="D22" s="3" t="s">
        <v>13</v>
      </c>
      <c r="E22" s="3">
        <v>480</v>
      </c>
      <c r="F22" s="3">
        <v>130</v>
      </c>
      <c r="G22" s="4">
        <f>_xlfn.XLOOKUP(A22&amp;C22,Costs!$D$2:$D$16,Costs!$C$2:$C$16,0)</f>
        <v>75</v>
      </c>
      <c r="H22" s="5">
        <f t="shared" si="0"/>
        <v>62400</v>
      </c>
      <c r="I22" s="5">
        <f t="shared" si="1"/>
        <v>36000</v>
      </c>
      <c r="J22" s="5">
        <f t="shared" si="2"/>
        <v>26400</v>
      </c>
      <c r="K22" s="6">
        <f t="shared" si="3"/>
        <v>0.423076923076923</v>
      </c>
    </row>
    <row r="23" ht="14.25" customHeight="1">
      <c r="A23" s="3">
        <v>2025</v>
      </c>
      <c r="B23" s="3" t="s">
        <v>14</v>
      </c>
      <c r="C23" s="3" t="s">
        <v>12</v>
      </c>
      <c r="D23" s="3" t="s">
        <v>15</v>
      </c>
      <c r="E23" s="3">
        <v>330</v>
      </c>
      <c r="F23" s="3">
        <v>130</v>
      </c>
      <c r="G23" s="4">
        <f>_xlfn.XLOOKUP(A23&amp;C23,Costs!$D$2:$D$16,Costs!$C$2:$C$16,0)</f>
        <v>75</v>
      </c>
      <c r="H23" s="5">
        <f t="shared" si="0"/>
        <v>42900</v>
      </c>
      <c r="I23" s="5">
        <f t="shared" si="1"/>
        <v>24750</v>
      </c>
      <c r="J23" s="5">
        <f t="shared" si="2"/>
        <v>18150</v>
      </c>
      <c r="K23" s="6">
        <f t="shared" si="3"/>
        <v>0.423076923076923</v>
      </c>
    </row>
    <row r="24" ht="14.25" customHeight="1">
      <c r="A24" s="3">
        <v>2025</v>
      </c>
      <c r="B24" s="3" t="s">
        <v>16</v>
      </c>
      <c r="C24" s="3" t="s">
        <v>17</v>
      </c>
      <c r="D24" s="3" t="s">
        <v>18</v>
      </c>
      <c r="E24" s="3">
        <v>220</v>
      </c>
      <c r="F24" s="3">
        <v>155</v>
      </c>
      <c r="G24" s="4">
        <f>_xlfn.XLOOKUP(A24&amp;C24,Costs!$D$2:$D$16,Costs!$C$2:$C$16,0)</f>
        <v>95</v>
      </c>
      <c r="H24" s="5">
        <f t="shared" si="0"/>
        <v>34100</v>
      </c>
      <c r="I24" s="5">
        <f t="shared" si="1"/>
        <v>20900</v>
      </c>
      <c r="J24" s="5">
        <f t="shared" si="2"/>
        <v>13200</v>
      </c>
      <c r="K24" s="6">
        <f t="shared" si="3"/>
        <v>0.387096774193548</v>
      </c>
    </row>
    <row r="25" ht="14.25" customHeight="1">
      <c r="A25" s="3">
        <v>2025</v>
      </c>
      <c r="B25" s="3" t="s">
        <v>19</v>
      </c>
      <c r="C25" s="3" t="s">
        <v>20</v>
      </c>
      <c r="D25" s="3" t="s">
        <v>21</v>
      </c>
      <c r="E25" s="3">
        <v>200</v>
      </c>
      <c r="F25" s="3">
        <v>215</v>
      </c>
      <c r="G25" s="4">
        <f>_xlfn.XLOOKUP(A25&amp;C25,Costs!$D$2:$D$16,Costs!$C$2:$C$16,0)</f>
        <v>160</v>
      </c>
      <c r="H25" s="5">
        <f t="shared" si="0"/>
        <v>43000</v>
      </c>
      <c r="I25" s="5">
        <f t="shared" si="1"/>
        <v>32000</v>
      </c>
      <c r="J25" s="5">
        <f t="shared" si="2"/>
        <v>11000</v>
      </c>
      <c r="K25" s="6">
        <f t="shared" si="3"/>
        <v>0.255813953488372</v>
      </c>
    </row>
    <row r="26" ht="14.25" customHeight="1">
      <c r="A26" s="3">
        <v>2025</v>
      </c>
      <c r="B26" s="3" t="s">
        <v>22</v>
      </c>
      <c r="C26" s="3" t="s">
        <v>23</v>
      </c>
      <c r="D26" s="3" t="s">
        <v>24</v>
      </c>
      <c r="E26" s="3">
        <v>230</v>
      </c>
      <c r="F26" s="3">
        <v>190</v>
      </c>
      <c r="G26" s="4">
        <f>_xlfn.XLOOKUP(A26&amp;C26,Costs!$D$2:$D$16,Costs!$C$2:$C$16,0)</f>
        <v>130</v>
      </c>
      <c r="H26" s="5">
        <f t="shared" si="0"/>
        <v>43700</v>
      </c>
      <c r="I26" s="5">
        <f t="shared" si="1"/>
        <v>29900</v>
      </c>
      <c r="J26" s="5">
        <f t="shared" si="2"/>
        <v>13800</v>
      </c>
      <c r="K26" s="6">
        <f t="shared" si="3"/>
        <v>0.315789473684211</v>
      </c>
    </row>
    <row r="27" ht="14.25" customHeight="1">
      <c r="A27" s="3">
        <v>2025</v>
      </c>
      <c r="B27" s="3" t="s">
        <v>11</v>
      </c>
      <c r="C27" s="3" t="s">
        <v>25</v>
      </c>
      <c r="D27" s="3" t="s">
        <v>13</v>
      </c>
      <c r="E27" s="3">
        <v>180</v>
      </c>
      <c r="F27" s="3">
        <v>250</v>
      </c>
      <c r="G27" s="4">
        <f>_xlfn.XLOOKUP(A27&amp;C27,Costs!$D$2:$D$16,Costs!$C$2:$C$16,0)</f>
        <v>210</v>
      </c>
      <c r="H27" s="5">
        <f t="shared" si="0"/>
        <v>45000</v>
      </c>
      <c r="I27" s="5">
        <f t="shared" si="1"/>
        <v>37800</v>
      </c>
      <c r="J27" s="5">
        <f t="shared" si="2"/>
        <v>7200</v>
      </c>
      <c r="K27" s="6">
        <f t="shared" si="3"/>
        <v>0.16</v>
      </c>
    </row>
    <row r="28" ht="14.25" customHeight="1">
      <c r="A28" s="3">
        <v>2025</v>
      </c>
      <c r="B28" s="3" t="s">
        <v>14</v>
      </c>
      <c r="C28" s="3" t="s">
        <v>17</v>
      </c>
      <c r="D28" s="3" t="s">
        <v>15</v>
      </c>
      <c r="E28" s="3">
        <v>160</v>
      </c>
      <c r="F28" s="3">
        <v>155</v>
      </c>
      <c r="G28" s="4">
        <f>_xlfn.XLOOKUP(A28&amp;C28,Costs!$D$2:$D$16,Costs!$C$2:$C$16,0)</f>
        <v>95</v>
      </c>
      <c r="H28" s="5">
        <f t="shared" si="0"/>
        <v>24800</v>
      </c>
      <c r="I28" s="5">
        <f t="shared" si="1"/>
        <v>15200</v>
      </c>
      <c r="J28" s="5">
        <f t="shared" si="2"/>
        <v>9600</v>
      </c>
      <c r="K28" s="6">
        <f t="shared" si="3"/>
        <v>0.387096774193548</v>
      </c>
    </row>
    <row r="29" ht="14.25" customHeight="1">
      <c r="A29" s="3">
        <v>2025</v>
      </c>
      <c r="B29" s="3" t="s">
        <v>16</v>
      </c>
      <c r="C29" s="3" t="s">
        <v>23</v>
      </c>
      <c r="D29" s="3" t="s">
        <v>18</v>
      </c>
      <c r="E29" s="3">
        <v>210</v>
      </c>
      <c r="F29" s="3">
        <v>190</v>
      </c>
      <c r="G29" s="4">
        <f>_xlfn.XLOOKUP(A29&amp;C29,Costs!$D$2:$D$16,Costs!$C$2:$C$16,0)</f>
        <v>130</v>
      </c>
      <c r="H29" s="5">
        <f t="shared" si="0"/>
        <v>39900</v>
      </c>
      <c r="I29" s="5">
        <f t="shared" si="1"/>
        <v>27300</v>
      </c>
      <c r="J29" s="5">
        <f t="shared" si="2"/>
        <v>12600</v>
      </c>
      <c r="K29" s="6">
        <f t="shared" si="3"/>
        <v>0.315789473684211</v>
      </c>
    </row>
    <row r="30" ht="14.25" customHeight="1">
      <c r="A30" s="3">
        <v>2025</v>
      </c>
      <c r="B30" s="3" t="s">
        <v>19</v>
      </c>
      <c r="C30" s="3" t="s">
        <v>12</v>
      </c>
      <c r="D30" s="3" t="s">
        <v>21</v>
      </c>
      <c r="E30" s="3">
        <v>260</v>
      </c>
      <c r="F30" s="3">
        <v>130</v>
      </c>
      <c r="G30" s="4">
        <f>_xlfn.XLOOKUP(A30&amp;C30,Costs!$D$2:$D$16,Costs!$C$2:$C$16,0)</f>
        <v>75</v>
      </c>
      <c r="H30" s="5">
        <f t="shared" si="0"/>
        <v>33800</v>
      </c>
      <c r="I30" s="5">
        <f t="shared" si="1"/>
        <v>19500</v>
      </c>
      <c r="J30" s="5">
        <f t="shared" si="2"/>
        <v>14300</v>
      </c>
      <c r="K30" s="6">
        <f t="shared" si="3"/>
        <v>0.423076923076923</v>
      </c>
    </row>
    <row r="31" ht="14.25" customHeight="1">
      <c r="A31" s="3">
        <v>2025</v>
      </c>
      <c r="B31" s="3" t="s">
        <v>22</v>
      </c>
      <c r="C31" s="3" t="s">
        <v>20</v>
      </c>
      <c r="D31" s="3" t="s">
        <v>24</v>
      </c>
      <c r="E31" s="3">
        <v>190</v>
      </c>
      <c r="F31" s="3">
        <v>215</v>
      </c>
      <c r="G31" s="4">
        <f>_xlfn.XLOOKUP(A31&amp;C31,Costs!$D$2:$D$16,Costs!$C$2:$C$16,0)</f>
        <v>160</v>
      </c>
      <c r="H31" s="5">
        <f t="shared" si="0"/>
        <v>40850</v>
      </c>
      <c r="I31" s="5">
        <f t="shared" si="1"/>
        <v>30400</v>
      </c>
      <c r="J31" s="5">
        <f t="shared" si="2"/>
        <v>10450</v>
      </c>
      <c r="K31" s="6">
        <f t="shared" si="3"/>
        <v>0.255813953488372</v>
      </c>
    </row>
  </sheetData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340706F-65C4-D1CF-D478-482B11034719}" mc:Ignorable="x14ac xr xr2 xr3">
  <dimension ref="A1:GR1000"/>
  <sheetViews>
    <sheetView rightToLeft="1" topLeftCell="A1" workbookViewId="0">
      <selection activeCell="D1" sqref="D1"/>
    </sheetView>
  </sheetViews>
  <sheetFormatPr defaultRowHeight="13.799999999999999" defaultColWidth="9.140625" customHeight="1"/>
  <cols>
    <col min="3" max="3" width="10.140625" customWidth="1"/>
    <col min="4" max="4" width="5.140625" customWidth="1"/>
  </cols>
  <sheetData>
    <row r="1" ht="15.75" customHeight="1">
      <c r="A1" s="1" t="s">
        <v>0</v>
      </c>
      <c r="B1" s="1" t="s">
        <v>2</v>
      </c>
      <c r="C1" s="1" t="s">
        <v>6</v>
      </c>
      <c r="D1" s="7" t="s">
        <v>26</v>
      </c>
      <c r="E1" s="8"/>
      <c r="F1" s="8"/>
    </row>
    <row r="2" ht="14.25" customHeight="1">
      <c r="A2" s="3">
        <v>2023</v>
      </c>
      <c r="B2" s="3" t="s">
        <v>12</v>
      </c>
      <c r="C2" s="3">
        <v>70</v>
      </c>
      <c r="D2" s="9" t="str">
        <f t="shared" si="0" ref="D2:D16">A2&amp;B2</f>
        <v>2023מוצר A</v>
      </c>
      <c r="E2" s="9"/>
      <c r="F2" s="9"/>
    </row>
    <row r="3" ht="14.25" customHeight="1">
      <c r="A3" s="3">
        <v>2023</v>
      </c>
      <c r="B3" s="3" t="s">
        <v>17</v>
      </c>
      <c r="C3" s="3">
        <v>90</v>
      </c>
      <c r="D3" s="9" t="str">
        <f t="shared" si="0"/>
        <v>2023מוצר B</v>
      </c>
      <c r="E3" s="9"/>
      <c r="F3" s="9"/>
    </row>
    <row r="4" ht="14.25" customHeight="1">
      <c r="A4" s="3">
        <v>2023</v>
      </c>
      <c r="B4" s="3" t="s">
        <v>20</v>
      </c>
      <c r="C4" s="3">
        <v>140</v>
      </c>
      <c r="D4" s="9" t="str">
        <f t="shared" si="0"/>
        <v>2023מוצר C</v>
      </c>
      <c r="E4" s="9"/>
      <c r="F4" s="9"/>
    </row>
    <row r="5" ht="14.25" customHeight="1">
      <c r="A5" s="3">
        <v>2023</v>
      </c>
      <c r="B5" s="3" t="s">
        <v>23</v>
      </c>
      <c r="C5" s="3">
        <v>110</v>
      </c>
      <c r="D5" s="9" t="str">
        <f t="shared" si="0"/>
        <v>2023מוצר D</v>
      </c>
      <c r="E5" s="9"/>
      <c r="F5" s="9"/>
    </row>
    <row r="6" ht="14.25" customHeight="1">
      <c r="A6" s="3">
        <v>2023</v>
      </c>
      <c r="B6" s="3" t="s">
        <v>25</v>
      </c>
      <c r="C6" s="3">
        <v>190</v>
      </c>
      <c r="D6" s="9" t="str">
        <f t="shared" si="0"/>
        <v>2023מוצר E</v>
      </c>
      <c r="E6" s="9"/>
      <c r="F6" s="9"/>
    </row>
    <row r="7" ht="14.25" customHeight="1">
      <c r="A7" s="3">
        <v>2024</v>
      </c>
      <c r="B7" s="3" t="s">
        <v>12</v>
      </c>
      <c r="C7" s="3">
        <v>70</v>
      </c>
      <c r="D7" s="9" t="str">
        <f t="shared" si="0"/>
        <v>2024מוצר A</v>
      </c>
      <c r="E7" s="9"/>
      <c r="F7" s="9"/>
    </row>
    <row r="8" ht="14.25" customHeight="1">
      <c r="A8" s="3">
        <v>2024</v>
      </c>
      <c r="B8" s="3" t="s">
        <v>17</v>
      </c>
      <c r="C8" s="3">
        <v>90</v>
      </c>
      <c r="D8" s="9" t="str">
        <f t="shared" si="0"/>
        <v>2024מוצר B</v>
      </c>
      <c r="E8" s="9"/>
      <c r="F8" s="9"/>
    </row>
    <row r="9" ht="14.25" customHeight="1">
      <c r="A9" s="3">
        <v>2024</v>
      </c>
      <c r="B9" s="3" t="s">
        <v>20</v>
      </c>
      <c r="C9" s="3">
        <v>150</v>
      </c>
      <c r="D9" s="9" t="str">
        <f t="shared" si="0"/>
        <v>2024מוצר C</v>
      </c>
      <c r="E9" s="9"/>
      <c r="F9" s="9"/>
    </row>
    <row r="10" ht="14.25" customHeight="1">
      <c r="A10" s="3">
        <v>2024</v>
      </c>
      <c r="B10" s="3" t="s">
        <v>23</v>
      </c>
      <c r="C10" s="3">
        <v>120</v>
      </c>
      <c r="D10" s="9" t="str">
        <f t="shared" si="0"/>
        <v>2024מוצר D</v>
      </c>
      <c r="E10" s="9"/>
      <c r="F10" s="9"/>
    </row>
    <row r="11" ht="14.25" customHeight="1">
      <c r="A11" s="3">
        <v>2024</v>
      </c>
      <c r="B11" s="3" t="s">
        <v>25</v>
      </c>
      <c r="C11" s="3">
        <v>200</v>
      </c>
      <c r="D11" s="9" t="str">
        <f t="shared" si="0"/>
        <v>2024מוצר E</v>
      </c>
      <c r="E11" s="9"/>
      <c r="F11" s="9"/>
    </row>
    <row r="12" ht="14.25" customHeight="1">
      <c r="A12" s="3">
        <v>2025</v>
      </c>
      <c r="B12" s="3" t="s">
        <v>12</v>
      </c>
      <c r="C12" s="3">
        <v>75</v>
      </c>
      <c r="D12" s="9" t="str">
        <f t="shared" si="0"/>
        <v>2025מוצר A</v>
      </c>
      <c r="E12" s="9"/>
      <c r="F12" s="9"/>
    </row>
    <row r="13" ht="14.25" customHeight="1">
      <c r="A13" s="3">
        <v>2025</v>
      </c>
      <c r="B13" s="3" t="s">
        <v>17</v>
      </c>
      <c r="C13" s="3">
        <v>95</v>
      </c>
      <c r="D13" s="9" t="str">
        <f t="shared" si="0"/>
        <v>2025מוצר B</v>
      </c>
      <c r="E13" s="9"/>
      <c r="F13" s="9"/>
    </row>
    <row r="14" ht="14.25" customHeight="1">
      <c r="A14" s="3">
        <v>2025</v>
      </c>
      <c r="B14" s="3" t="s">
        <v>20</v>
      </c>
      <c r="C14" s="3">
        <v>160</v>
      </c>
      <c r="D14" s="9" t="str">
        <f t="shared" si="0"/>
        <v>2025מוצר C</v>
      </c>
      <c r="E14" s="9"/>
      <c r="F14" s="9"/>
    </row>
    <row r="15" ht="14.25" customHeight="1">
      <c r="A15" s="3">
        <v>2025</v>
      </c>
      <c r="B15" s="3" t="s">
        <v>23</v>
      </c>
      <c r="C15" s="3">
        <v>130</v>
      </c>
      <c r="D15" s="9" t="str">
        <f t="shared" si="0"/>
        <v>2025מוצר D</v>
      </c>
      <c r="E15" s="9"/>
      <c r="F15" s="9"/>
    </row>
    <row r="16" ht="14.25" customHeight="1">
      <c r="A16" s="3">
        <v>2025</v>
      </c>
      <c r="B16" s="3" t="s">
        <v>25</v>
      </c>
      <c r="C16" s="3">
        <v>210</v>
      </c>
      <c r="D16" s="9" t="str">
        <f t="shared" si="0"/>
        <v>2025מוצר E</v>
      </c>
      <c r="E16" s="9"/>
      <c r="F16" s="9"/>
    </row>
    <row r="17" ht="13.799999999999999" customHeight="1">
      <c r="A17" s="9"/>
      <c r="B17" s="9"/>
      <c r="C17" s="9"/>
      <c r="D17" s="9"/>
      <c r="E17" s="9"/>
      <c r="F17" s="9"/>
    </row>
    <row r="18" ht="13.799999999999999" customHeight="1">
      <c r="A18" s="9"/>
      <c r="B18" s="9"/>
      <c r="C18" s="9"/>
      <c r="D18" s="9"/>
      <c r="E18" s="9"/>
      <c r="F18" s="9"/>
    </row>
    <row r="19" ht="13.799999999999999" customHeight="1">
      <c r="A19" s="9"/>
      <c r="B19" s="9"/>
      <c r="C19" s="9"/>
      <c r="D19" s="9"/>
      <c r="E19" s="9"/>
      <c r="F19" s="9"/>
    </row>
    <row r="20" ht="13.799999999999999" customHeight="1">
      <c r="A20" s="9"/>
      <c r="B20" s="9"/>
      <c r="C20" s="9"/>
      <c r="D20" s="9"/>
      <c r="E20" s="9"/>
      <c r="F20" s="9"/>
    </row>
    <row r="21" ht="13.799999999999999" customHeight="1">
      <c r="A21" s="9"/>
      <c r="B21" s="9"/>
      <c r="C21" s="9"/>
      <c r="D21" s="9"/>
      <c r="E21" s="9"/>
      <c r="F21" s="9"/>
    </row>
    <row r="22" ht="13.799999999999999" customHeight="1">
      <c r="A22" s="9"/>
      <c r="B22" s="9"/>
      <c r="C22" s="9"/>
      <c r="D22" s="9"/>
      <c r="E22" s="9"/>
      <c r="F22" s="9"/>
    </row>
    <row r="23" ht="13.799999999999999" customHeight="1">
      <c r="A23" s="9"/>
      <c r="B23" s="9"/>
      <c r="C23" s="9"/>
      <c r="D23" s="9"/>
      <c r="E23" s="9"/>
      <c r="F23" s="9"/>
    </row>
    <row r="24" ht="13.799999999999999" customHeight="1">
      <c r="A24" s="9"/>
      <c r="B24" s="9"/>
      <c r="C24" s="9"/>
      <c r="D24" s="9"/>
      <c r="E24" s="9"/>
      <c r="F24" s="9"/>
    </row>
    <row r="25" ht="13.799999999999999" customHeight="1">
      <c r="A25" s="9"/>
      <c r="B25" s="9"/>
      <c r="C25" s="9"/>
      <c r="D25" s="9"/>
      <c r="E25" s="9"/>
      <c r="F25" s="9"/>
    </row>
    <row r="26" ht="13.799999999999999" customHeight="1">
      <c r="A26" s="9"/>
      <c r="B26" s="9"/>
      <c r="C26" s="9"/>
      <c r="D26" s="9"/>
      <c r="E26" s="9"/>
      <c r="F26" s="9"/>
    </row>
    <row r="27" ht="13.799999999999999" customHeight="1">
      <c r="A27" s="9"/>
      <c r="B27" s="9"/>
      <c r="C27" s="9"/>
      <c r="D27" s="9"/>
      <c r="E27" s="9"/>
      <c r="F27" s="9"/>
    </row>
    <row r="28" ht="13.799999999999999" customHeight="1">
      <c r="A28" s="9"/>
      <c r="B28" s="9"/>
      <c r="C28" s="9"/>
      <c r="D28" s="9"/>
      <c r="E28" s="9"/>
      <c r="F28" s="9"/>
    </row>
    <row r="29" ht="13.799999999999999" customHeight="1">
      <c r="A29" s="9"/>
      <c r="B29" s="9"/>
      <c r="C29" s="9"/>
      <c r="D29" s="9"/>
      <c r="E29" s="9"/>
      <c r="F29" s="9"/>
    </row>
    <row r="30" ht="13.799999999999999" customHeight="1">
      <c r="A30" s="9"/>
      <c r="B30" s="9"/>
      <c r="C30" s="9"/>
      <c r="D30" s="9"/>
      <c r="E30" s="9"/>
      <c r="F30" s="9"/>
    </row>
    <row r="31" ht="13.799999999999999" customHeight="1">
      <c r="A31" s="9"/>
      <c r="B31" s="9"/>
      <c r="C31" s="9"/>
      <c r="D31" s="9"/>
      <c r="E31" s="9"/>
      <c r="F31" s="9"/>
    </row>
  </sheetData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63121B5-E068-E328-83E8-DB1B87200278}" mc:Ignorable="x14ac xr xr2 xr3">
  <dimension ref="A1:GR1000"/>
  <sheetViews>
    <sheetView topLeftCell="A1" workbookViewId="0">
      <selection activeCell="A1" sqref="A1"/>
    </sheetView>
  </sheetViews>
  <sheetFormatPr defaultRowHeight="15" defaultColWidth="8.8515625" customHeight="1"/>
  <cols>
    <col min="1" max="1" width="38.57421875" customWidth="1"/>
    <col min="2" max="2" width="11.140625" customWidth="1"/>
    <col min="3" max="3" width="14.28125" customWidth="1"/>
    <col min="4" max="5" width="12.57421875" customWidth="1"/>
    <col min="6" max="6" width="14.421875" customWidth="1"/>
    <col min="7" max="7" width="11.28125" customWidth="1"/>
    <col min="8" max="8" width="9.00390625" customWidth="1"/>
  </cols>
  <sheetData>
    <row r="1" ht="15.75" customHeight="1">
      <c r="A1" s="10" t="s">
        <v>2</v>
      </c>
      <c r="B1" s="10" t="s">
        <v>42</v>
      </c>
      <c r="C1" s="10" t="s">
        <v>43</v>
      </c>
      <c r="D1" s="10" t="s">
        <v>44</v>
      </c>
      <c r="E1" s="10" t="s">
        <v>45</v>
      </c>
      <c r="F1" s="10" t="s">
        <v>46</v>
      </c>
      <c r="G1" s="10" t="s">
        <v>47</v>
      </c>
      <c r="H1" s="10" t="s">
        <v>48</v>
      </c>
    </row>
    <row r="2" ht="15" customHeight="1">
      <c r="A2" t="s">
        <v>12</v>
      </c>
      <c r="B2" s="11">
        <f>SUMIF(Sales!$C$2:$C$31,A2,Sales!$E$2:$E$31)</f>
        <v>2810</v>
      </c>
      <c r="C2" s="12">
        <f>SUMIF(Sales!$C$2:$C$31,A2,Sales!$H$2:$H$31)</f>
        <v>352600</v>
      </c>
      <c r="D2" s="12">
        <f>SUMIF(Sales!$C$2:$C$31,A2,Sales!$I$2:$I$31)</f>
        <v>202050</v>
      </c>
      <c r="E2" s="12">
        <f t="shared" si="0" ref="E2:E6">C2-D2</f>
        <v>150550</v>
      </c>
      <c r="F2" s="13">
        <f t="shared" si="1" ref="F2:F8">E2/C2</f>
        <v>0.426971072036302</v>
      </c>
      <c r="G2" s="11">
        <f t="shared" si="2" ref="G2:G6">RANK(C2,$C$2:$C$6,0)</f>
        <v>1</v>
      </c>
      <c r="H2" s="11">
        <f t="shared" si="3" ref="H2:H6">RANK(E2,$E$2:$E$6,0)</f>
        <v>1</v>
      </c>
    </row>
    <row r="3" ht="15" customHeight="1">
      <c r="A3" t="s">
        <v>17</v>
      </c>
      <c r="B3" s="11">
        <f>SUMIF(Sales!$C$2:$C$31,A3,Sales!$E$2:$E$31)</f>
        <v>1210</v>
      </c>
      <c r="C3" s="12">
        <f>SUMIF(Sales!$C$2:$C$31,A3,Sales!$H$2:$H$31)</f>
        <v>183400</v>
      </c>
      <c r="D3" s="12">
        <f>SUMIF(Sales!$C$2:$C$31,A3,Sales!$I$2:$I$31)</f>
        <v>110800</v>
      </c>
      <c r="E3" s="12">
        <f t="shared" si="0"/>
        <v>72600</v>
      </c>
      <c r="F3" s="13">
        <f t="shared" si="1"/>
        <v>0.395856052344602</v>
      </c>
      <c r="G3" s="11">
        <f t="shared" si="2"/>
        <v>4</v>
      </c>
      <c r="H3" s="11">
        <f t="shared" si="3"/>
        <v>3</v>
      </c>
    </row>
    <row r="4" ht="15" customHeight="1">
      <c r="A4" t="s">
        <v>20</v>
      </c>
      <c r="B4" s="11">
        <f>SUMIF(Sales!$C$2:$C$31,A4,Sales!$E$2:$E$31)</f>
        <v>1030</v>
      </c>
      <c r="C4" s="12">
        <f>SUMIF(Sales!$C$2:$C$31,A4,Sales!$H$2:$H$31)</f>
        <v>218250</v>
      </c>
      <c r="D4" s="12">
        <f>SUMIF(Sales!$C$2:$C$31,A4,Sales!$I$2:$I$31)</f>
        <v>155200</v>
      </c>
      <c r="E4" s="12">
        <f t="shared" si="0"/>
        <v>63050</v>
      </c>
      <c r="F4" s="13">
        <f t="shared" si="1"/>
        <v>0.288888888888889</v>
      </c>
      <c r="G4" s="11">
        <f t="shared" si="2"/>
        <v>3</v>
      </c>
      <c r="H4" s="11">
        <f t="shared" si="3"/>
        <v>4</v>
      </c>
    </row>
    <row r="5" ht="15" customHeight="1">
      <c r="A5" t="s">
        <v>23</v>
      </c>
      <c r="B5" s="11">
        <f>SUMIF(Sales!$C$2:$C$31,A5,Sales!$E$2:$E$31)</f>
        <v>1190</v>
      </c>
      <c r="C5" s="12">
        <f>SUMIF(Sales!$C$2:$C$31,A5,Sales!$H$2:$H$31)</f>
        <v>220650</v>
      </c>
      <c r="D5" s="12">
        <f>SUMIF(Sales!$C$2:$C$31,A5,Sales!$I$2:$I$31)</f>
        <v>143800</v>
      </c>
      <c r="E5" s="12">
        <f t="shared" si="0"/>
        <v>76850</v>
      </c>
      <c r="F5" s="13">
        <f t="shared" si="1"/>
        <v>0.348289145705869</v>
      </c>
      <c r="G5" s="11">
        <f t="shared" si="2"/>
        <v>2</v>
      </c>
      <c r="H5" s="11">
        <f t="shared" si="3"/>
        <v>2</v>
      </c>
    </row>
    <row r="6" ht="15" customHeight="1">
      <c r="A6" t="s">
        <v>25</v>
      </c>
      <c r="B6" s="11">
        <f>SUMIF(Sales!$C$2:$C$31,A6,Sales!$E$2:$E$31)</f>
        <v>480</v>
      </c>
      <c r="C6" s="12">
        <f>SUMIF(Sales!$C$2:$C$31,A6,Sales!$H$2:$H$31)</f>
        <v>117800</v>
      </c>
      <c r="D6" s="12">
        <f>SUMIF(Sales!$C$2:$C$31,A6,Sales!$I$2:$I$31)</f>
        <v>96400</v>
      </c>
      <c r="E6" s="12">
        <f t="shared" si="0"/>
        <v>21400</v>
      </c>
      <c r="F6" s="13">
        <f t="shared" si="1"/>
        <v>0.181663837011885</v>
      </c>
      <c r="G6" s="11">
        <f t="shared" si="2"/>
        <v>5</v>
      </c>
      <c r="H6" s="11">
        <f t="shared" si="3"/>
        <v>5</v>
      </c>
    </row>
    <row r="8" ht="15" customHeight="1">
      <c r="A8" s="14" t="s">
        <v>49</v>
      </c>
      <c r="B8" s="15">
        <f t="shared" si="4" ref="B8:E8">SUM(B2:B6)</f>
        <v>6720</v>
      </c>
      <c r="C8" s="16">
        <f t="shared" si="4"/>
        <v>1092700</v>
      </c>
      <c r="D8" s="16">
        <f t="shared" si="4"/>
        <v>708250</v>
      </c>
      <c r="E8" s="16">
        <f t="shared" si="4"/>
        <v>384450</v>
      </c>
      <c r="F8" s="17">
        <f t="shared" si="1"/>
        <v>0.351834904365334</v>
      </c>
      <c r="G8" s="14"/>
      <c r="H8" s="14"/>
    </row>
    <row r="10" ht="15.75" customHeight="1">
      <c r="A10" s="18" t="s">
        <v>50</v>
      </c>
    </row>
    <row r="11" ht="15" customHeight="1">
      <c r="A11" s="19" t="s">
        <v>2</v>
      </c>
      <c r="B11" s="19" t="s">
        <v>7</v>
      </c>
      <c r="C11" s="19" t="s">
        <v>51</v>
      </c>
      <c r="D11" s="19" t="s">
        <v>10</v>
      </c>
      <c r="E11" s="19" t="s">
        <v>52</v>
      </c>
      <c r="F11" s="19" t="s">
        <v>53</v>
      </c>
      <c r="G11" s="19" t="s">
        <v>54</v>
      </c>
    </row>
    <row r="12" ht="15" customHeight="1">
      <c r="A12" t="str">
        <f t="shared" si="5" ref="A12:A16">A2</f>
        <v>מוצר A</v>
      </c>
      <c r="B12" s="20">
        <f t="shared" si="6" ref="B12:B16">C2</f>
        <v>352600</v>
      </c>
      <c r="C12">
        <f t="shared" si="7" ref="C12:C16">G2</f>
        <v>1</v>
      </c>
      <c r="D12" s="13">
        <f t="shared" si="8" ref="D12:D16">F2</f>
        <v>0.426971072036302</v>
      </c>
      <c r="E12">
        <f t="shared" si="9" ref="E12:E16">RANK(F2,$F$2:$F$6,0)</f>
        <v>1</v>
      </c>
      <c r="F12">
        <f t="shared" si="10" ref="F12:F16">E12-C12</f>
        <v>0</v>
      </c>
      <c r="G12" t="str">
        <f t="shared" si="11" ref="G12:G16">IF(AND(C12&lt;=2,E12&gt;=4),"⚠️ בעייתי",IF(F12&gt;=2,"👀 לבדיקה","✅ תקין"))</f>
        <v>✅ תקין</v>
      </c>
    </row>
    <row r="13" ht="15" customHeight="1">
      <c r="A13" t="str">
        <f t="shared" si="5"/>
        <v>מוצר B</v>
      </c>
      <c r="B13" s="20">
        <f t="shared" si="6"/>
        <v>183400</v>
      </c>
      <c r="C13">
        <f t="shared" si="7"/>
        <v>4</v>
      </c>
      <c r="D13" s="13">
        <f t="shared" si="8"/>
        <v>0.395856052344602</v>
      </c>
      <c r="E13">
        <f t="shared" si="9"/>
        <v>2</v>
      </c>
      <c r="F13">
        <f t="shared" si="10"/>
        <v>-2</v>
      </c>
      <c r="G13" t="str">
        <f t="shared" si="11"/>
        <v>✅ תקין</v>
      </c>
    </row>
    <row r="14" ht="15" customHeight="1">
      <c r="A14" t="str">
        <f t="shared" si="5"/>
        <v>מוצר C</v>
      </c>
      <c r="B14" s="20">
        <f t="shared" si="6"/>
        <v>218250</v>
      </c>
      <c r="C14">
        <f t="shared" si="7"/>
        <v>3</v>
      </c>
      <c r="D14" s="13">
        <f t="shared" si="8"/>
        <v>0.288888888888889</v>
      </c>
      <c r="E14">
        <f t="shared" si="9"/>
        <v>4</v>
      </c>
      <c r="F14">
        <f t="shared" si="10"/>
        <v>1</v>
      </c>
      <c r="G14" t="str">
        <f t="shared" si="11"/>
        <v>✅ תקין</v>
      </c>
    </row>
    <row r="15" ht="15" customHeight="1">
      <c r="A15" t="str">
        <f t="shared" si="5"/>
        <v>מוצר D</v>
      </c>
      <c r="B15" s="20">
        <f t="shared" si="6"/>
        <v>220650</v>
      </c>
      <c r="C15">
        <f t="shared" si="7"/>
        <v>2</v>
      </c>
      <c r="D15" s="13">
        <f t="shared" si="8"/>
        <v>0.348289145705869</v>
      </c>
      <c r="E15">
        <f t="shared" si="9"/>
        <v>3</v>
      </c>
      <c r="F15">
        <f t="shared" si="10"/>
        <v>1</v>
      </c>
      <c r="G15" t="str">
        <f t="shared" si="11"/>
        <v>✅ תקין</v>
      </c>
    </row>
    <row r="16" ht="15" customHeight="1">
      <c r="A16" t="str">
        <f t="shared" si="5"/>
        <v>מוצר E</v>
      </c>
      <c r="B16" s="20">
        <f t="shared" si="6"/>
        <v>117800</v>
      </c>
      <c r="C16">
        <f t="shared" si="7"/>
        <v>5</v>
      </c>
      <c r="D16" s="13">
        <f t="shared" si="8"/>
        <v>0.181663837011885</v>
      </c>
      <c r="E16">
        <f t="shared" si="9"/>
        <v>5</v>
      </c>
      <c r="F16">
        <f t="shared" si="10"/>
        <v>0</v>
      </c>
      <c r="G16" t="str">
        <f t="shared" si="11"/>
        <v>✅ תקין</v>
      </c>
    </row>
    <row r="18" ht="15" customHeight="1">
      <c r="A18" s="21" t="s">
        <v>56</v>
      </c>
      <c r="B18" s="22">
        <f>COUNTIF(G12:G16,"*בעייתי*")</f>
        <v>0</v>
      </c>
    </row>
  </sheetData>
  <mergeCells>
    <mergeCell ref="A10:H10"/>
  </mergeCells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ECAB0E8-D0D2-8631-B58F-E6E754E6C6B8}" mc:Ignorable="x14ac xr xr2 xr3">
  <dimension ref="A1:GR1000"/>
  <sheetViews>
    <sheetView topLeftCell="A1" workbookViewId="0">
      <selection activeCell="E2" sqref="E2"/>
    </sheetView>
  </sheetViews>
  <sheetFormatPr defaultRowHeight="15" defaultColWidth="8.8515625" customHeight="1"/>
  <cols>
    <col min="1" max="1" width="7.57421875" customWidth="1"/>
    <col min="2" max="2" width="11.00390625" customWidth="1"/>
    <col min="3" max="3" width="13.140625" customWidth="1"/>
    <col min="4" max="4" width="12.00390625" customWidth="1"/>
    <col min="5" max="5" width="10.00390625" customWidth="1"/>
    <col min="6" max="6" width="9.28125" customWidth="1"/>
    <col min="7" max="7" width="5.28125" customWidth="1"/>
  </cols>
  <sheetData>
    <row r="1" ht="15.75" customHeight="1">
      <c r="A1" s="23" t="s">
        <v>1</v>
      </c>
      <c r="B1" s="23" t="s">
        <v>42</v>
      </c>
      <c r="C1" s="23" t="s">
        <v>43</v>
      </c>
      <c r="D1" s="23" t="s">
        <v>44</v>
      </c>
      <c r="E1" s="23" t="s">
        <v>45</v>
      </c>
      <c r="F1" s="23" t="s">
        <v>10</v>
      </c>
      <c r="G1" s="23" t="s">
        <v>57</v>
      </c>
    </row>
    <row r="2" ht="15" customHeight="1">
      <c r="A2" t="s">
        <v>11</v>
      </c>
      <c r="B2">
        <f>SUMIF(Sales!$B$2:$B$31,A2,Sales!$E$2:$E$31)</f>
        <v>1700</v>
      </c>
      <c r="C2" s="24">
        <f>SUMIF(Sales!$B$2:$B$31,A2,Sales!$H$2:$H$31)</f>
        <v>271100</v>
      </c>
      <c r="D2" s="24">
        <f>SUMIF(Sales!$B$2:$B$31,A2,Sales!$I$2:$I$31)</f>
        <v>184200</v>
      </c>
      <c r="E2" s="24">
        <f t="shared" si="0" ref="E2:E6">C2-D2</f>
        <v>86900</v>
      </c>
      <c r="F2" s="13">
        <f t="shared" si="1" ref="F2:F8">E2/C2</f>
        <v>0.320545924013279</v>
      </c>
      <c r="G2">
        <f t="shared" si="2" ref="G2:G6">RANK(C2,$C$2:$C$6,0)</f>
        <v>1</v>
      </c>
    </row>
    <row r="3" ht="15" customHeight="1">
      <c r="A3" t="s">
        <v>14</v>
      </c>
      <c r="B3" s="25">
        <f>SUMIF(Sales!$B$2:$B$31,A3,Sales!$E$2:$E$31)</f>
        <v>1400</v>
      </c>
      <c r="C3" s="24">
        <f>SUMIF(Sales!$B$2:$B$31,A3,Sales!$H$2:$H$31)</f>
        <v>196700</v>
      </c>
      <c r="D3" s="24">
        <f>SUMIF(Sales!$B$2:$B$31,A3,Sales!$I$2:$I$31)</f>
        <v>118650</v>
      </c>
      <c r="E3" s="24">
        <f t="shared" si="0"/>
        <v>78050</v>
      </c>
      <c r="F3" s="13">
        <f t="shared" si="1"/>
        <v>0.396797153024911</v>
      </c>
      <c r="G3" s="25">
        <f t="shared" si="2"/>
        <v>4</v>
      </c>
    </row>
    <row r="4" ht="15" customHeight="1">
      <c r="A4" t="s">
        <v>16</v>
      </c>
      <c r="B4" s="25">
        <f>SUMIF(Sales!$B$2:$B$31,A4,Sales!$E$2:$E$31)</f>
        <v>1260</v>
      </c>
      <c r="C4" s="24">
        <f>SUMIF(Sales!$B$2:$B$31,A4,Sales!$H$2:$H$31)</f>
        <v>210300</v>
      </c>
      <c r="D4" s="24">
        <f>SUMIF(Sales!$B$2:$B$31,A4,Sales!$I$2:$I$31)</f>
        <v>132100</v>
      </c>
      <c r="E4" s="24">
        <f t="shared" si="0"/>
        <v>78200</v>
      </c>
      <c r="F4" s="13">
        <f t="shared" si="1"/>
        <v>0.371849738468854</v>
      </c>
      <c r="G4" s="25">
        <f t="shared" si="2"/>
        <v>3</v>
      </c>
    </row>
    <row r="5" ht="15" customHeight="1">
      <c r="A5" t="s">
        <v>19</v>
      </c>
      <c r="B5" s="25">
        <f>SUMIF(Sales!$B$2:$B$31,A5,Sales!$E$2:$E$31)</f>
        <v>1160</v>
      </c>
      <c r="C5" s="24">
        <f>SUMIF(Sales!$B$2:$B$31,A5,Sales!$H$2:$H$31)</f>
        <v>195600</v>
      </c>
      <c r="D5" s="24">
        <f>SUMIF(Sales!$B$2:$B$31,A5,Sales!$I$2:$I$31)</f>
        <v>128800</v>
      </c>
      <c r="E5" s="24">
        <f t="shared" si="0"/>
        <v>66800</v>
      </c>
      <c r="F5" s="13">
        <f t="shared" si="1"/>
        <v>0.341513292433538</v>
      </c>
      <c r="G5" s="25">
        <f t="shared" si="2"/>
        <v>5</v>
      </c>
    </row>
    <row r="6" ht="15" customHeight="1">
      <c r="A6" t="s">
        <v>22</v>
      </c>
      <c r="B6" s="25">
        <f>SUMIF(Sales!$B$2:$B$31,A6,Sales!$E$2:$E$31)</f>
        <v>1200</v>
      </c>
      <c r="C6" s="24">
        <f>SUMIF(Sales!$B$2:$B$31,A6,Sales!$H$2:$H$31)</f>
        <v>219000</v>
      </c>
      <c r="D6" s="24">
        <f>SUMIF(Sales!$B$2:$B$31,A6,Sales!$I$2:$I$31)</f>
        <v>144500</v>
      </c>
      <c r="E6" s="24">
        <f t="shared" si="0"/>
        <v>74500</v>
      </c>
      <c r="F6" s="13">
        <f t="shared" si="1"/>
        <v>0.340182648401826</v>
      </c>
      <c r="G6" s="25">
        <f t="shared" si="2"/>
        <v>2</v>
      </c>
    </row>
    <row r="8" ht="15" customHeight="1">
      <c r="A8" s="26" t="s">
        <v>49</v>
      </c>
      <c r="B8" s="26">
        <f t="shared" si="3" ref="B8:E8">SUM(B2:B6)</f>
        <v>6720</v>
      </c>
      <c r="C8" s="27">
        <f t="shared" si="3"/>
        <v>1092700</v>
      </c>
      <c r="D8" s="27">
        <f t="shared" si="3"/>
        <v>708250</v>
      </c>
      <c r="E8" s="27">
        <f t="shared" si="3"/>
        <v>384450</v>
      </c>
      <c r="F8" s="28">
        <f t="shared" si="1"/>
        <v>0.351834904365334</v>
      </c>
      <c r="G8" s="26"/>
    </row>
  </sheetData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C643FE4-1AC1-7A08-A0F2-1D6ED97EB7D8}" mc:Ignorable="x14ac xr xr2 xr3">
  <dimension ref="A1:GR1000"/>
  <sheetViews>
    <sheetView topLeftCell="A1" workbookViewId="0">
      <selection activeCell="G2" sqref="G2"/>
    </sheetView>
  </sheetViews>
  <sheetFormatPr defaultRowHeight="15" defaultColWidth="8.8515625" customHeight="1"/>
  <cols>
    <col min="1" max="1" width="12.421875" customWidth="1"/>
    <col min="2" max="2" width="9.57421875" customWidth="1"/>
    <col min="3" max="3" width="12.57421875" customWidth="1"/>
    <col min="4" max="4" width="10.8515625" customWidth="1"/>
    <col min="5" max="5" width="9.7109375" customWidth="1"/>
    <col min="6" max="6" width="8.421875" customWidth="1"/>
    <col min="7" max="7" width="4.8515625" customWidth="1"/>
  </cols>
  <sheetData>
    <row r="1" ht="15.75" customHeight="1">
      <c r="A1" s="10" t="s">
        <v>3</v>
      </c>
      <c r="B1" s="10" t="s">
        <v>42</v>
      </c>
      <c r="C1" s="10" t="s">
        <v>43</v>
      </c>
      <c r="D1" s="10" t="s">
        <v>44</v>
      </c>
      <c r="E1" s="10" t="s">
        <v>45</v>
      </c>
      <c r="F1" s="10" t="s">
        <v>10</v>
      </c>
      <c r="G1" s="10" t="s">
        <v>57</v>
      </c>
    </row>
    <row r="2" ht="15" customHeight="1">
      <c r="A2" t="s">
        <v>13</v>
      </c>
      <c r="B2" s="29">
        <f>SUMIF(Sales!$D$2:$D$31,A2,Sales!$E$2:$E$31)</f>
        <v>1700</v>
      </c>
      <c r="C2" s="30">
        <f>SUMIF(Sales!$D$2:$D$31,A2,Sales!$H$2:$H$31)</f>
        <v>271100</v>
      </c>
      <c r="D2" s="30">
        <f>SUMIF(Sales!$D$2:$D$31,A2,Sales!$I$2:$I$31)</f>
        <v>184200</v>
      </c>
      <c r="E2" s="30">
        <f t="shared" si="0" ref="E2:E6">C2-D2</f>
        <v>86900</v>
      </c>
      <c r="F2" s="31">
        <f t="shared" si="1" ref="F2:F8">E2/C2</f>
        <v>0.320545924013279</v>
      </c>
      <c r="G2" s="29">
        <f t="shared" si="2" ref="G2:G6">RANK(C2,$C$2:$C$6,0)</f>
        <v>1</v>
      </c>
    </row>
    <row r="3" ht="15" customHeight="1">
      <c r="A3" t="s">
        <v>15</v>
      </c>
      <c r="B3" s="29">
        <f>SUMIF(Sales!$D$2:$D$31,A3,Sales!$E$2:$E$31)</f>
        <v>1400</v>
      </c>
      <c r="C3" s="30">
        <f>SUMIF(Sales!$D$2:$D$31,A3,Sales!$H$2:$H$31)</f>
        <v>196700</v>
      </c>
      <c r="D3" s="30">
        <f>SUMIF(Sales!$D$2:$D$31,A3,Sales!$I$2:$I$31)</f>
        <v>118650</v>
      </c>
      <c r="E3" s="30">
        <f t="shared" si="0"/>
        <v>78050</v>
      </c>
      <c r="F3" s="31">
        <f t="shared" si="1"/>
        <v>0.396797153024911</v>
      </c>
      <c r="G3" s="29">
        <f t="shared" si="2"/>
        <v>4</v>
      </c>
    </row>
    <row r="4" ht="15" customHeight="1">
      <c r="A4" t="s">
        <v>18</v>
      </c>
      <c r="B4" s="29">
        <f>SUMIF(Sales!$D$2:$D$31,A4,Sales!$E$2:$E$31)</f>
        <v>1260</v>
      </c>
      <c r="C4" s="30">
        <f>SUMIF(Sales!$D$2:$D$31,A4,Sales!$H$2:$H$31)</f>
        <v>210300</v>
      </c>
      <c r="D4" s="30">
        <f>SUMIF(Sales!$D$2:$D$31,A4,Sales!$I$2:$I$31)</f>
        <v>132100</v>
      </c>
      <c r="E4" s="30">
        <f t="shared" si="0"/>
        <v>78200</v>
      </c>
      <c r="F4" s="31">
        <f t="shared" si="1"/>
        <v>0.371849738468854</v>
      </c>
      <c r="G4" s="29">
        <f t="shared" si="2"/>
        <v>3</v>
      </c>
    </row>
    <row r="5" ht="15" customHeight="1">
      <c r="A5" t="s">
        <v>21</v>
      </c>
      <c r="B5" s="29">
        <f>SUMIF(Sales!$D$2:$D$31,A5,Sales!$E$2:$E$31)</f>
        <v>1160</v>
      </c>
      <c r="C5" s="30">
        <f>SUMIF(Sales!$D$2:$D$31,A5,Sales!$H$2:$H$31)</f>
        <v>195600</v>
      </c>
      <c r="D5" s="30">
        <f>SUMIF(Sales!$D$2:$D$31,A5,Sales!$I$2:$I$31)</f>
        <v>128800</v>
      </c>
      <c r="E5" s="30">
        <f t="shared" si="0"/>
        <v>66800</v>
      </c>
      <c r="F5" s="31">
        <f t="shared" si="1"/>
        <v>0.341513292433538</v>
      </c>
      <c r="G5" s="29">
        <f t="shared" si="2"/>
        <v>5</v>
      </c>
    </row>
    <row r="6" ht="15" customHeight="1">
      <c r="A6" t="s">
        <v>24</v>
      </c>
      <c r="B6" s="29">
        <f>SUMIF(Sales!$D$2:$D$31,A6,Sales!$E$2:$E$31)</f>
        <v>1200</v>
      </c>
      <c r="C6" s="30">
        <f>SUMIF(Sales!$D$2:$D$31,A6,Sales!$H$2:$H$31)</f>
        <v>219000</v>
      </c>
      <c r="D6" s="30">
        <f>SUMIF(Sales!$D$2:$D$31,A6,Sales!$I$2:$I$31)</f>
        <v>144500</v>
      </c>
      <c r="E6" s="30">
        <f t="shared" si="0"/>
        <v>74500</v>
      </c>
      <c r="F6" s="31">
        <f t="shared" si="1"/>
        <v>0.340182648401826</v>
      </c>
      <c r="G6" s="29">
        <f t="shared" si="2"/>
        <v>2</v>
      </c>
    </row>
    <row r="8" ht="15" customHeight="1">
      <c r="A8" s="14" t="s">
        <v>49</v>
      </c>
      <c r="B8" s="14">
        <f t="shared" si="3" ref="B8:E8">SUM(B2:B6)</f>
        <v>6720</v>
      </c>
      <c r="C8" s="32">
        <f t="shared" si="3"/>
        <v>1092700</v>
      </c>
      <c r="D8" s="32">
        <f t="shared" si="3"/>
        <v>708250</v>
      </c>
      <c r="E8" s="32">
        <f t="shared" si="3"/>
        <v>384450</v>
      </c>
      <c r="F8" s="17">
        <f t="shared" si="1"/>
        <v>0.351834904365334</v>
      </c>
      <c r="G8" s="14"/>
    </row>
    <row r="10" ht="15" customHeight="1">
      <c r="A10" s="33" t="s">
        <v>58</v>
      </c>
      <c r="B10" s="33" t="str">
        <f>INDEX(A2:A6,MATCH(MAX(C2:C6),C2:C6,0))</f>
        <v>דני</v>
      </c>
    </row>
  </sheetData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568F8C38-733D-A33D-8D4E-AED2D4FFF528}" mc:Ignorable="x14ac xr xr2 xr3">
  <dimension ref="A1:GR1000"/>
  <sheetViews>
    <sheetView topLeftCell="A1" workbookViewId="0">
      <selection activeCell="C4" sqref="C4"/>
    </sheetView>
  </sheetViews>
  <sheetFormatPr defaultRowHeight="15" defaultColWidth="8.8515625" customHeight="1"/>
  <cols>
    <col min="1" max="1" width="25.7109375" customWidth="1"/>
    <col min="2" max="2" width="8.7109375" customWidth="1"/>
    <col min="3" max="3" width="10.421875" customWidth="1"/>
    <col min="4" max="4" width="10.00390625" customWidth="1"/>
    <col min="5" max="5" width="9.00390625" customWidth="1"/>
    <col min="6" max="6" width="7.7109375" customWidth="1"/>
    <col min="7" max="7" width="18.57421875" customWidth="1"/>
  </cols>
  <sheetData>
    <row r="1" ht="15" customHeight="1">
      <c r="A1" s="19" t="s">
        <v>0</v>
      </c>
      <c r="B1" s="19" t="s">
        <v>42</v>
      </c>
      <c r="C1" s="19" t="s">
        <v>43</v>
      </c>
      <c r="D1" s="19" t="s">
        <v>44</v>
      </c>
      <c r="E1" s="19" t="s">
        <v>45</v>
      </c>
      <c r="F1" s="19" t="s">
        <v>10</v>
      </c>
      <c r="G1" s="19" t="s">
        <v>59</v>
      </c>
    </row>
    <row r="2" ht="15" customHeight="1">
      <c r="A2" s="34">
        <v>2023</v>
      </c>
      <c r="B2" s="11">
        <f>SUMIF(Sales!$A$2:$A$31,A2,Sales!$E$2:$E$31)</f>
        <v>2000</v>
      </c>
      <c r="C2" s="24">
        <f>SUMIF(Sales!$A$2:$A$31,A2,Sales!$H$2:$H$31)</f>
        <v>318000</v>
      </c>
      <c r="D2" s="24">
        <f>SUMIF(Sales!$A$2:$A$31,A2,Sales!$I$2:$I$31)</f>
        <v>200800</v>
      </c>
      <c r="E2" s="24">
        <f t="shared" si="0" ref="E2:E4">C2-D2</f>
        <v>117200</v>
      </c>
      <c r="F2" s="13">
        <f t="shared" si="1" ref="F2:F6">E2/C2</f>
        <v>0.368553459119497</v>
      </c>
      <c r="G2" t="s">
        <v>60</v>
      </c>
    </row>
    <row r="3" ht="15" customHeight="1">
      <c r="A3" s="34">
        <v>2024</v>
      </c>
      <c r="B3" s="11">
        <f>SUMIF(Sales!$A$2:$A$31,A3,Sales!$E$2:$E$31)</f>
        <v>2260</v>
      </c>
      <c r="C3" s="24">
        <f>SUMIF(Sales!$A$2:$A$31,A3,Sales!$H$2:$H$31)</f>
        <v>364250</v>
      </c>
      <c r="D3" s="24">
        <f>SUMIF(Sales!$A$2:$A$31,A3,Sales!$I$2:$I$31)</f>
        <v>233700</v>
      </c>
      <c r="E3" s="24">
        <f t="shared" si="0"/>
        <v>130550</v>
      </c>
      <c r="F3" s="13">
        <f t="shared" si="1"/>
        <v>0.35840768702814</v>
      </c>
      <c r="G3" s="13">
        <f t="shared" si="2" ref="G3:G4">(C3-C2)/C2</f>
        <v>0.145440251572327</v>
      </c>
    </row>
    <row r="4" ht="15" customHeight="1">
      <c r="A4" s="34">
        <v>2025</v>
      </c>
      <c r="B4" s="11">
        <f>SUMIF(Sales!$A$2:$A$31,A4,Sales!$E$2:$E$31)</f>
        <v>2460</v>
      </c>
      <c r="C4" s="24">
        <f>SUMIF(Sales!$A$2:$A$31,A4,Sales!$H$2:$H$31)</f>
        <v>410450</v>
      </c>
      <c r="D4" s="24">
        <f>SUMIF(Sales!$A$2:$A$31,A4,Sales!$I$2:$I$31)</f>
        <v>273750</v>
      </c>
      <c r="E4" s="24">
        <f t="shared" si="0"/>
        <v>136700</v>
      </c>
      <c r="F4" s="13">
        <f t="shared" si="1"/>
        <v>0.333049092459496</v>
      </c>
      <c r="G4" s="13">
        <f t="shared" si="2"/>
        <v>0.126835964310227</v>
      </c>
    </row>
    <row r="6" ht="15" customHeight="1">
      <c r="A6" s="35" t="s">
        <v>49</v>
      </c>
      <c r="B6" s="36">
        <f t="shared" si="3" ref="B6:E6">SUM(B2:B4)</f>
        <v>6720</v>
      </c>
      <c r="C6" s="37">
        <f t="shared" si="3"/>
        <v>1092700</v>
      </c>
      <c r="D6" s="37">
        <f t="shared" si="3"/>
        <v>708250</v>
      </c>
      <c r="E6" s="37">
        <f t="shared" si="3"/>
        <v>384450</v>
      </c>
      <c r="F6" s="38">
        <f t="shared" si="1"/>
        <v>0.351834904365334</v>
      </c>
      <c r="G6" s="38">
        <f>AVERAGE(G3:G4)</f>
        <v>0.136138107941277</v>
      </c>
    </row>
    <row r="8" ht="15.75" customHeight="1">
      <c r="A8" s="39" t="s">
        <v>61</v>
      </c>
      <c r="B8" s="40"/>
      <c r="C8" s="40"/>
    </row>
    <row r="9" ht="15" customHeight="1">
      <c r="A9" s="40" t="s">
        <v>62</v>
      </c>
      <c r="B9" s="40">
        <f>INDEX(A2:A4,MATCH(MAX(C2:C4),C2:C4,0))</f>
        <v>2025</v>
      </c>
      <c r="C9" s="40"/>
    </row>
    <row r="10" ht="15" customHeight="1">
      <c r="A10" s="40" t="s">
        <v>63</v>
      </c>
      <c r="B10" s="40">
        <f>INDEX(A2:A4,MATCH(MAX(E2:E4),E2:E4,0))</f>
        <v>2025</v>
      </c>
      <c r="C10" s="40"/>
    </row>
    <row r="11" ht="15" customHeight="1">
      <c r="A11" s="40" t="s">
        <v>64</v>
      </c>
      <c r="B11" s="41">
        <f>AVERAGE(G3:G4)</f>
        <v>0.136138107941277</v>
      </c>
      <c r="C11" s="40"/>
    </row>
    <row r="12" ht="15" customHeight="1">
      <c r="A12" s="40" t="s">
        <v>65</v>
      </c>
      <c r="B12" s="41">
        <f>(C4-C2)/C2</f>
        <v>0.290723270440252</v>
      </c>
      <c r="C12" s="40"/>
    </row>
  </sheetData>
  <mergeCells>
    <mergeCell ref="A8:C8"/>
  </mergeCells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48F4A91-48A8-E3F8-17E8-E9BCCDCD0C64}" mc:Ignorable="x14ac xr xr2 xr3">
  <dimension ref="A1:GR1000"/>
  <sheetViews>
    <sheetView topLeftCell="A10" workbookViewId="0">
      <selection activeCell="A60" sqref="A60"/>
    </sheetView>
  </sheetViews>
  <sheetFormatPr defaultRowHeight="15" defaultColWidth="8.8515625" customHeight="1"/>
  <sheetData>
    <row r="1" ht="15" customHeight="1"/>
  </sheetData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drawing r:id="rId1"/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6D44E45-ED99-46A8-AFFA-20E062F86BB8}" mc:Ignorable="x14ac xr xr2 xr3">
  <dimension ref="A1:GR1000"/>
  <sheetViews>
    <sheetView topLeftCell="A7" workbookViewId="0" tabSelected="1">
      <selection activeCell="A23" sqref="A23:F23"/>
    </sheetView>
  </sheetViews>
  <sheetFormatPr defaultRowHeight="15" defaultColWidth="8.8515625" customHeight="1"/>
  <cols>
    <col min="1" max="1" width="25.7109375" customWidth="1"/>
    <col min="2" max="2" width="21.421875" customWidth="1"/>
    <col min="3" max="6" width="17.140625" customWidth="1"/>
  </cols>
  <sheetData>
    <row r="1" ht="21" customHeight="1">
      <c r="A1" s="42" t="s">
        <v>66</v>
      </c>
    </row>
    <row r="3" ht="15" customHeight="1">
      <c r="A3" s="43" t="s">
        <v>67</v>
      </c>
    </row>
    <row r="4" ht="15" customHeight="1">
      <c r="A4" s="44" t="s">
        <v>68</v>
      </c>
      <c r="B4" s="24">
        <f>SUM('מגמות שנתיות'!C2:C4)</f>
        <v>1092700</v>
      </c>
    </row>
    <row r="5" ht="15" customHeight="1">
      <c r="A5" s="44" t="s">
        <v>69</v>
      </c>
      <c r="B5" s="24">
        <f>SUM('מגמות שנתיות'!E2:E4)</f>
        <v>384450</v>
      </c>
    </row>
    <row r="6" ht="15" customHeight="1">
      <c r="A6" s="44" t="s">
        <v>70</v>
      </c>
      <c r="B6" s="13">
        <f>'מגמות שנתיות'!F6</f>
        <v>0.351834904365334</v>
      </c>
    </row>
    <row r="7" ht="15" customHeight="1">
      <c r="A7" s="44" t="s">
        <v>65</v>
      </c>
      <c r="B7" s="13">
        <f>'מגמות שנתיות'!B12</f>
        <v>0.290723270440252</v>
      </c>
    </row>
    <row r="9" ht="15" customHeight="1">
      <c r="A9" s="45" t="s">
        <v>71</v>
      </c>
    </row>
    <row r="10" ht="15" customHeight="1">
      <c r="A10" s="44" t="s">
        <v>72</v>
      </c>
      <c r="B10" t="s">
        <v>12</v>
      </c>
      <c r="C10" s="24">
        <f>'ניתוח מוצרים'!C2</f>
        <v>352600</v>
      </c>
    </row>
    <row r="11" ht="15" customHeight="1">
      <c r="A11" s="44" t="s">
        <v>73</v>
      </c>
      <c r="B11" t="s">
        <v>11</v>
      </c>
      <c r="C11" s="24">
        <f>'ניתוח סניפים'!C2</f>
        <v>271100</v>
      </c>
    </row>
    <row r="12" ht="15" customHeight="1">
      <c r="A12" s="44" t="s">
        <v>74</v>
      </c>
      <c r="B12" t="s">
        <v>13</v>
      </c>
      <c r="C12" s="24">
        <f>'ניתוח סוכנים'!C2</f>
        <v>271100</v>
      </c>
    </row>
    <row r="13" ht="15" customHeight="1">
      <c r="A13" s="44" t="s">
        <v>75</v>
      </c>
      <c r="B13" s="34">
        <v>2025</v>
      </c>
      <c r="C13" s="24">
        <f>'מגמות שנתיות'!C4</f>
        <v>410450</v>
      </c>
    </row>
    <row r="15" ht="15.75" customHeight="1">
      <c r="A15" s="46" t="s">
        <v>76</v>
      </c>
    </row>
    <row r="17" ht="15" customHeight="1">
      <c r="A17" t="s">
        <v>77</v>
      </c>
      <c r="B17" t="s">
        <v>78</v>
      </c>
    </row>
    <row r="18" ht="15" customHeight="1">
      <c r="A18" t="s">
        <v>79</v>
      </c>
      <c r="B18" t="s">
        <v>80</v>
      </c>
    </row>
    <row r="19" ht="15" customHeight="1">
      <c r="A19" t="s">
        <v>81</v>
      </c>
      <c r="B19" t="s">
        <v>82</v>
      </c>
    </row>
    <row r="20" ht="15" customHeight="1">
      <c r="A20" t="s">
        <v>83</v>
      </c>
      <c r="B20" t="s">
        <v>84</v>
      </c>
    </row>
    <row r="21" ht="15" customHeight="1">
      <c r="A21" t="s">
        <v>85</v>
      </c>
      <c r="B21" t="s">
        <v>86</v>
      </c>
    </row>
    <row r="23" ht="15.75" customHeight="1">
      <c r="A23" s="47" t="s">
        <v>87</v>
      </c>
    </row>
    <row r="24" ht="15" customHeight="1">
      <c r="A24" t="s">
        <v>88</v>
      </c>
      <c r="B24" t="s">
        <v>89</v>
      </c>
    </row>
    <row r="25" ht="15" customHeight="1">
      <c r="A25" t="s">
        <v>88</v>
      </c>
      <c r="B25" t="s">
        <v>90</v>
      </c>
    </row>
    <row r="26" ht="15" customHeight="1">
      <c r="A26" t="s">
        <v>88</v>
      </c>
      <c r="B26" t="s">
        <v>91</v>
      </c>
    </row>
    <row r="27" ht="15" customHeight="1">
      <c r="A27" t="s">
        <v>88</v>
      </c>
      <c r="B27" t="s">
        <v>92</v>
      </c>
    </row>
  </sheetData>
  <mergeCells>
    <mergeCell ref="A1:F1"/>
    <mergeCell ref="A3:F3"/>
    <mergeCell ref="A9:F9"/>
    <mergeCell ref="A15:F15"/>
    <mergeCell ref="B17:F17"/>
    <mergeCell ref="B18:F18"/>
    <mergeCell ref="B19:F19"/>
    <mergeCell ref="B20:F20"/>
    <mergeCell ref="B21:F21"/>
    <mergeCell ref="A23:F23"/>
    <mergeCell ref="B24:F24"/>
    <mergeCell ref="B25:F25"/>
    <mergeCell ref="B26:F26"/>
    <mergeCell ref="B27:F27"/>
  </mergeCells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Sales</vt:lpstr>
      <vt:lpstr>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שירה מימון</cp:lastModifiedBy>
  <dcterms:created xsi:type="dcterms:W3CDTF">2015-06-05T18:19:34Z</dcterms:created>
  <dcterms:modified xsi:type="dcterms:W3CDTF">2026-03-15T16:09:10Z</dcterms:modified>
</cp:coreProperties>
</file>